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trlProps/ctrlProp1.xml" ContentType="application/vnd.ms-excel.controlproperties+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4.xml" ContentType="application/vnd.openxmlformats-officedocument.drawingml.chartshapes+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drawings/drawing5.xml" ContentType="application/vnd.openxmlformats-officedocument.drawingml.chartshapes+xml"/>
  <Override PartName="/xl/charts/chart12.xml" ContentType="application/vnd.openxmlformats-officedocument.drawingml.chart+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codeName="ThisWorkbook" defaultThemeVersion="124226"/>
  <mc:AlternateContent xmlns:mc="http://schemas.openxmlformats.org/markup-compatibility/2006">
    <mc:Choice Requires="x15">
      <x15ac:absPath xmlns:x15ac="http://schemas.microsoft.com/office/spreadsheetml/2010/11/ac" url="C:\Users\aubrie\Box\BOT\L Drive\Meetings\BOT Meeting--Materials\2021-2022\January 20, 2022\Agenda packet\Web\"/>
    </mc:Choice>
  </mc:AlternateContent>
  <xr:revisionPtr revIDLastSave="0" documentId="13_ncr:1_{43570EDD-6D39-4332-9D75-963BA69A2AE5}" xr6:coauthVersionLast="47" xr6:coauthVersionMax="47" xr10:uidLastSave="{00000000-0000-0000-0000-000000000000}"/>
  <bookViews>
    <workbookView xWindow="22932" yWindow="-108" windowWidth="23256" windowHeight="12576" xr2:uid="{00000000-000D-0000-FFFF-FFFF00000000}"/>
  </bookViews>
  <sheets>
    <sheet name="Dashboard Condensed" sheetId="95" r:id="rId1"/>
    <sheet name="Collateral Req" sheetId="99" r:id="rId2"/>
    <sheet name="Univ Ratings" sheetId="100" r:id="rId3"/>
    <sheet name="DUP Sec 12 requirements" sheetId="98" r:id="rId4"/>
    <sheet name="Sheet1" sheetId="97" state="hidden" r:id="rId5"/>
    <sheet name="Report" sheetId="45" state="hidden" r:id="rId6"/>
    <sheet name="SchedA" sheetId="77" state="hidden" r:id="rId7"/>
    <sheet name="Hedging Position Summary" sheetId="92" state="hidden" r:id="rId8"/>
    <sheet name="Chart-Data" sheetId="41" state="hidden" r:id="rId9"/>
    <sheet name="May14" sheetId="90" state="hidden" r:id="rId10"/>
    <sheet name="Apr14" sheetId="88" state="hidden" r:id="rId11"/>
    <sheet name="Mar14" sheetId="87" state="hidden" r:id="rId12"/>
    <sheet name="Feb14" sheetId="86" state="hidden" r:id="rId13"/>
    <sheet name="Jan14" sheetId="85" state="hidden" r:id="rId14"/>
    <sheet name="Dec13" sheetId="84" state="hidden" r:id="rId15"/>
    <sheet name="Nov13" sheetId="83" state="hidden" r:id="rId16"/>
    <sheet name="Oct13" sheetId="82" state="hidden" r:id="rId17"/>
    <sheet name="Sep13" sheetId="81" state="hidden" r:id="rId18"/>
    <sheet name="Aug13" sheetId="80" state="hidden" r:id="rId19"/>
    <sheet name="Jul13" sheetId="79" state="hidden" r:id="rId20"/>
    <sheet name="Jun13" sheetId="78" state="hidden" r:id="rId21"/>
    <sheet name="May13" sheetId="75" state="hidden" r:id="rId22"/>
    <sheet name="Apr13" sheetId="74" state="hidden" r:id="rId23"/>
    <sheet name="Mar13" sheetId="73" state="hidden" r:id="rId24"/>
    <sheet name="Feb13" sheetId="72" state="hidden" r:id="rId25"/>
    <sheet name="Jan13" sheetId="69" state="hidden" r:id="rId26"/>
    <sheet name="Dec12" sheetId="68" state="hidden" r:id="rId27"/>
    <sheet name="Nov12" sheetId="67" state="hidden" r:id="rId28"/>
    <sheet name="Oct12" sheetId="66" state="hidden" r:id="rId29"/>
    <sheet name="Sep12" sheetId="65" state="hidden" r:id="rId30"/>
    <sheet name="Aug12" sheetId="64" state="hidden" r:id="rId31"/>
    <sheet name="Jul12" sheetId="62" state="hidden" r:id="rId32"/>
    <sheet name="Jun12" sheetId="71" state="hidden" r:id="rId33"/>
    <sheet name="May12" sheetId="61" state="hidden" r:id="rId34"/>
    <sheet name="Apr12" sheetId="60" state="hidden" r:id="rId35"/>
    <sheet name="Mar12" sheetId="59" state="hidden" r:id="rId36"/>
    <sheet name="Feb12" sheetId="58" state="hidden" r:id="rId37"/>
    <sheet name="Jan12" sheetId="57" state="hidden" r:id="rId38"/>
    <sheet name="Dec11" sheetId="50" state="hidden" r:id="rId39"/>
    <sheet name="Nov11" sheetId="49" state="hidden" r:id="rId40"/>
    <sheet name="Oct11" sheetId="48" state="hidden" r:id="rId41"/>
    <sheet name="Sep11" sheetId="47" state="hidden" r:id="rId42"/>
    <sheet name="Aug11" sheetId="46" state="hidden" r:id="rId43"/>
    <sheet name="Jul11" sheetId="52" state="hidden" r:id="rId44"/>
    <sheet name="Jun11" sheetId="55" state="hidden" r:id="rId45"/>
    <sheet name="OLDMay11" sheetId="42" state="hidden" r:id="rId46"/>
    <sheet name="OLDApr11" sheetId="40" state="hidden" r:id="rId47"/>
    <sheet name="OldMar11" sheetId="19" state="hidden" r:id="rId48"/>
    <sheet name="FX-Example" sheetId="56" state="hidden" r:id="rId49"/>
    <sheet name="SWAP-Price-Example" sheetId="18" state="hidden" r:id="rId50"/>
    <sheet name="PUNCHLIST" sheetId="2" state="hidden" r:id="rId51"/>
    <sheet name="ReadMe" sheetId="70" state="hidden" r:id="rId52"/>
    <sheet name="Sheet2" sheetId="91" state="hidden" r:id="rId53"/>
  </sheets>
  <externalReferences>
    <externalReference r:id="rId54"/>
    <externalReference r:id="rId55"/>
  </externalReferences>
  <definedNames>
    <definedName name="_xlnm._FilterDatabase" localSheetId="47" hidden="1">OldMar11!$A$3:$W$3</definedName>
    <definedName name="_ftn1" localSheetId="7">'Hedging Position Summary'!$C$11</definedName>
    <definedName name="_ftnref1" localSheetId="7">'Hedging Position Summary'!$C$8</definedName>
    <definedName name="AccruedInterest">#REF!</definedName>
    <definedName name="AEPdata">'Chart-Data'!$DM$72:$DX$72</definedName>
    <definedName name="Anchor">#REF!</definedName>
    <definedName name="AssociatedBonds">#REF!</definedName>
    <definedName name="ClientName">#REF!</definedName>
    <definedName name="ClientPays">#REF!</definedName>
    <definedName name="ClientReceives">#REF!</definedName>
    <definedName name="CopPctPointer">'Chart-Data'!$H$17</definedName>
    <definedName name="COPSingle">'Chart-Data'!$H$18</definedName>
    <definedName name="Counterparty">#REF!</definedName>
    <definedName name="CPNotPointer">'Chart-Data'!$B$17</definedName>
    <definedName name="CurrentMonth" localSheetId="7">'[1]Chart-Data'!$FA$69</definedName>
    <definedName name="CurrentMonth">'Chart-Data'!$FA$69</definedName>
    <definedName name="CurrentMonthCol">'Chart-Data'!$FA$68</definedName>
    <definedName name="EffectiveDate">#REF!</definedName>
    <definedName name="EnergyNotPointer">'Chart-Data'!$D$17</definedName>
    <definedName name="Fitch">#REF!</definedName>
    <definedName name="FXNotPointer">'Chart-Data'!$E$17</definedName>
    <definedName name="Header">#REF!</definedName>
    <definedName name="InitialNotional">#REF!</definedName>
    <definedName name="IRNotPointer">'Chart-Data'!$C$17</definedName>
    <definedName name="JP_pointer">'Aug12'!$D$7</definedName>
    <definedName name="JPdata">'Chart-Data'!$DM$74:$DX$74</definedName>
    <definedName name="JPSC">Report!$CV$50:$CW$60</definedName>
    <definedName name="LabelClientPays">#REF!</definedName>
    <definedName name="LabelClientReceives">#REF!</definedName>
    <definedName name="LabelCounterparty">#REF!</definedName>
    <definedName name="LP_Pointer">'Aug12'!$D$8</definedName>
    <definedName name="LPdata">'Chart-Data'!$DM$75:$DX$75</definedName>
    <definedName name="LPHSFS">Report!$CY$51:$DA$65</definedName>
    <definedName name="MaturityDate">#REF!</definedName>
    <definedName name="MonthLbl">'Chart-Data'!$DM$70:$DX$70</definedName>
    <definedName name="Moodys">#REF!</definedName>
    <definedName name="MS_Cop_Pointer">'Aug12'!$D$5</definedName>
    <definedName name="MS_SC_Pointer">'Aug12'!$D$6</definedName>
    <definedName name="MSCOP">Report!$CP$50:$CR$59</definedName>
    <definedName name="MSdata">'Chart-Data'!$DM$76:$DX$76</definedName>
    <definedName name="MSSC">Report!$CS$50:$CU$60</definedName>
    <definedName name="Portfolio">#REF!</definedName>
    <definedName name="_xlnm.Print_Area" localSheetId="0">'Dashboard Condensed'!$A$1:$M$102</definedName>
    <definedName name="_xlnm.Print_Area" localSheetId="7">'Hedging Position Summary'!$A$1:$G$54</definedName>
    <definedName name="_xlnm.Print_Area" localSheetId="5">Report!$A$1:$M$74</definedName>
    <definedName name="ReportDate">#REF!</definedName>
    <definedName name="ReportGeneratedDate">#REF!</definedName>
    <definedName name="RptDate">'[2]Chart-Data'!$C$16</definedName>
    <definedName name="SnP">#REF!</definedName>
    <definedName name="SQdata">'Chart-Data'!$DM$77:$DX$77</definedName>
    <definedName name="Total">#REF!</definedName>
    <definedName name="TradeDate">#REF!</definedName>
    <definedName name="TransactionName">#REF!</definedName>
    <definedName name="TransactionType">#REF!</definedName>
    <definedName name="TXdata">'Chart-Data'!$DM$78:$DX$78</definedName>
    <definedName name="Valu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75" i="95" l="1"/>
  <c r="J161" i="95"/>
  <c r="I161" i="95"/>
  <c r="H161" i="95"/>
  <c r="G161" i="95"/>
  <c r="F161" i="95"/>
  <c r="E161" i="95"/>
  <c r="D161" i="95"/>
  <c r="C161" i="95"/>
  <c r="B161" i="95"/>
  <c r="B180" i="95"/>
  <c r="J63" i="95" l="1"/>
  <c r="K139" i="95" s="1"/>
  <c r="K161" i="95" s="1"/>
  <c r="B186" i="95" l="1"/>
  <c r="B147" i="95" l="1"/>
  <c r="C147" i="95"/>
  <c r="D147" i="95"/>
  <c r="E147" i="95"/>
  <c r="F147" i="95"/>
  <c r="G147" i="95"/>
  <c r="H147" i="95"/>
  <c r="I147" i="95"/>
  <c r="J167" i="95"/>
  <c r="I167" i="95"/>
  <c r="H167" i="95"/>
  <c r="G167" i="95"/>
  <c r="F167" i="95"/>
  <c r="E167" i="95"/>
  <c r="D167" i="95"/>
  <c r="C167" i="95"/>
  <c r="B167" i="95"/>
  <c r="J147" i="95"/>
  <c r="K146" i="95" l="1"/>
  <c r="K167" i="95" s="1"/>
  <c r="J73" i="95"/>
  <c r="H73" i="95"/>
  <c r="G6" i="95" s="1"/>
  <c r="G73" i="95"/>
  <c r="H6" i="95" l="1"/>
  <c r="I69" i="95"/>
  <c r="H69" i="95"/>
  <c r="G69" i="95"/>
  <c r="H113" i="95" l="1"/>
  <c r="G113" i="95"/>
  <c r="I113" i="95"/>
  <c r="J166" i="95"/>
  <c r="I166" i="95"/>
  <c r="H166" i="95"/>
  <c r="G166" i="95"/>
  <c r="F166" i="95"/>
  <c r="E166" i="95"/>
  <c r="D166" i="95"/>
  <c r="C166" i="95"/>
  <c r="J165" i="95"/>
  <c r="I165" i="95"/>
  <c r="H165" i="95"/>
  <c r="G165" i="95"/>
  <c r="F165" i="95"/>
  <c r="E165" i="95"/>
  <c r="D165" i="95"/>
  <c r="C165" i="95"/>
  <c r="J164" i="95"/>
  <c r="I164" i="95"/>
  <c r="H164" i="95"/>
  <c r="G164" i="95"/>
  <c r="F164" i="95"/>
  <c r="E164" i="95"/>
  <c r="D164" i="95"/>
  <c r="C164" i="95"/>
  <c r="J163" i="95"/>
  <c r="I163" i="95"/>
  <c r="H163" i="95"/>
  <c r="G163" i="95"/>
  <c r="F163" i="95"/>
  <c r="E163" i="95"/>
  <c r="D163" i="95"/>
  <c r="C163" i="95"/>
  <c r="J162" i="95"/>
  <c r="I162" i="95"/>
  <c r="H162" i="95"/>
  <c r="G162" i="95"/>
  <c r="F162" i="95"/>
  <c r="E162" i="95"/>
  <c r="D162" i="95"/>
  <c r="C162" i="95"/>
  <c r="J160" i="95"/>
  <c r="I160" i="95"/>
  <c r="H160" i="95"/>
  <c r="G160" i="95"/>
  <c r="F160" i="95"/>
  <c r="E160" i="95"/>
  <c r="D160" i="95"/>
  <c r="C160" i="95"/>
  <c r="J159" i="95"/>
  <c r="I159" i="95"/>
  <c r="H159" i="95"/>
  <c r="G159" i="95"/>
  <c r="F159" i="95"/>
  <c r="E159" i="95"/>
  <c r="D159" i="95"/>
  <c r="C159" i="95"/>
  <c r="J158" i="95"/>
  <c r="I158" i="95"/>
  <c r="H158" i="95"/>
  <c r="G158" i="95"/>
  <c r="F158" i="95"/>
  <c r="E158" i="95"/>
  <c r="D158" i="95"/>
  <c r="C158" i="95"/>
  <c r="J157" i="95"/>
  <c r="I157" i="95"/>
  <c r="H157" i="95"/>
  <c r="G157" i="95"/>
  <c r="F157" i="95"/>
  <c r="E157" i="95"/>
  <c r="D157" i="95"/>
  <c r="C157" i="95"/>
  <c r="J156" i="95"/>
  <c r="I156" i="95"/>
  <c r="H156" i="95"/>
  <c r="G156" i="95"/>
  <c r="F156" i="95"/>
  <c r="E156" i="95"/>
  <c r="D156" i="95"/>
  <c r="C156" i="95"/>
  <c r="J155" i="95"/>
  <c r="I155" i="95"/>
  <c r="H155" i="95"/>
  <c r="G155" i="95"/>
  <c r="F155" i="95"/>
  <c r="E155" i="95"/>
  <c r="D155" i="95"/>
  <c r="C155" i="95"/>
  <c r="J154" i="95"/>
  <c r="J168" i="95" s="1"/>
  <c r="I154" i="95"/>
  <c r="H154" i="95"/>
  <c r="G154" i="95"/>
  <c r="F154" i="95"/>
  <c r="E154" i="95"/>
  <c r="D154" i="95"/>
  <c r="C154" i="95"/>
  <c r="C168" i="95" s="1"/>
  <c r="B166" i="95"/>
  <c r="B165" i="95"/>
  <c r="B163" i="95"/>
  <c r="B164" i="95"/>
  <c r="B156" i="95"/>
  <c r="D168" i="95" l="1"/>
  <c r="E168" i="95"/>
  <c r="I168" i="95"/>
  <c r="H168" i="95"/>
  <c r="F168" i="95"/>
  <c r="G168" i="95"/>
  <c r="B134" i="95"/>
  <c r="C134" i="95"/>
  <c r="D134" i="95"/>
  <c r="E134" i="95"/>
  <c r="F134" i="95"/>
  <c r="G134" i="95"/>
  <c r="H134" i="95"/>
  <c r="I134" i="95"/>
  <c r="J134" i="95"/>
  <c r="J65" i="95" l="1"/>
  <c r="J61" i="95"/>
  <c r="K143" i="95" l="1"/>
  <c r="G4" i="95"/>
  <c r="B185" i="95" l="1"/>
  <c r="K145" i="95"/>
  <c r="K166" i="95" s="1"/>
  <c r="B183" i="95" l="1"/>
  <c r="G5" i="95"/>
  <c r="J62" i="95"/>
  <c r="J67" i="95"/>
  <c r="J64" i="95"/>
  <c r="J59" i="95"/>
  <c r="J68" i="95"/>
  <c r="J66" i="95"/>
  <c r="J60" i="95"/>
  <c r="J58" i="95"/>
  <c r="J55" i="95"/>
  <c r="H4" i="95" s="1"/>
  <c r="J69" i="95" l="1"/>
  <c r="K142" i="95"/>
  <c r="K144" i="95"/>
  <c r="K165" i="95" s="1"/>
  <c r="K141" i="95"/>
  <c r="K140" i="95"/>
  <c r="K138" i="95"/>
  <c r="K137" i="95"/>
  <c r="K136" i="95"/>
  <c r="K135" i="95"/>
  <c r="K128" i="95"/>
  <c r="K156" i="95" s="1"/>
  <c r="K127" i="95"/>
  <c r="K126" i="95"/>
  <c r="K147" i="95" l="1"/>
  <c r="H5" i="95"/>
  <c r="J113" i="95"/>
  <c r="B162" i="95"/>
  <c r="B160" i="95"/>
  <c r="B159" i="95"/>
  <c r="B158" i="95"/>
  <c r="B157" i="95"/>
  <c r="K162" i="95" l="1"/>
  <c r="B179" i="95"/>
  <c r="K160" i="95" l="1"/>
  <c r="B177" i="95"/>
  <c r="B176" i="95" l="1"/>
  <c r="B182" i="95" l="1"/>
  <c r="B181" i="95" l="1"/>
  <c r="B178" i="95"/>
  <c r="K159" i="95" l="1"/>
  <c r="K158" i="95" l="1"/>
  <c r="B184" i="95" l="1"/>
  <c r="H54" i="95" l="1"/>
  <c r="G3" i="95" s="1"/>
  <c r="G8" i="95" s="1"/>
  <c r="G54" i="95"/>
  <c r="J54" i="95"/>
  <c r="H3" i="95" s="1"/>
  <c r="H8" i="95" s="1"/>
  <c r="B154" i="95" l="1"/>
  <c r="B155" i="95"/>
  <c r="B168" i="95" l="1"/>
  <c r="K157" i="95"/>
  <c r="K164" i="95"/>
  <c r="K155" i="95" l="1"/>
  <c r="K154" i="95"/>
  <c r="K153" i="95" l="1"/>
  <c r="B172" i="95" s="1"/>
  <c r="J153" i="95"/>
  <c r="I153" i="95"/>
  <c r="H153" i="95"/>
  <c r="G153" i="95"/>
  <c r="F153" i="95"/>
  <c r="E153" i="95"/>
  <c r="D153" i="95"/>
  <c r="C153" i="95"/>
  <c r="B153" i="95"/>
  <c r="B173" i="95" l="1"/>
  <c r="B174" i="95"/>
  <c r="J130" i="95"/>
  <c r="B130" i="95"/>
  <c r="G56" i="95"/>
  <c r="G74" i="95" s="1"/>
  <c r="K134" i="95"/>
  <c r="I130" i="95"/>
  <c r="H130" i="95"/>
  <c r="H149" i="95" s="1"/>
  <c r="G130" i="95"/>
  <c r="G149" i="95" s="1"/>
  <c r="F130" i="95"/>
  <c r="F149" i="95" s="1"/>
  <c r="E130" i="95"/>
  <c r="E149" i="95" s="1"/>
  <c r="D130" i="95"/>
  <c r="D149" i="95" s="1"/>
  <c r="C130" i="95"/>
  <c r="C149" i="95" s="1"/>
  <c r="AQ9" i="41"/>
  <c r="DM76" i="41"/>
  <c r="AF6" i="41"/>
  <c r="DX73" i="41" s="1"/>
  <c r="AG6" i="41"/>
  <c r="AI6" i="41"/>
  <c r="AJ6" i="41"/>
  <c r="DT73" i="41" s="1"/>
  <c r="AK6" i="41"/>
  <c r="DS73" i="41" s="1"/>
  <c r="AL6" i="41"/>
  <c r="DR73" i="41" s="1"/>
  <c r="AM6" i="41"/>
  <c r="DQ73" i="41" s="1"/>
  <c r="AN6" i="41"/>
  <c r="DP73" i="41" s="1"/>
  <c r="AQ6" i="41"/>
  <c r="L29" i="77"/>
  <c r="K29" i="77"/>
  <c r="A78" i="41"/>
  <c r="L31" i="77"/>
  <c r="K31" i="77"/>
  <c r="AQ10" i="41"/>
  <c r="DM77" i="41" s="1"/>
  <c r="I127" i="45"/>
  <c r="I153" i="45" s="1"/>
  <c r="I81" i="45"/>
  <c r="I150" i="45" s="1"/>
  <c r="I151" i="45"/>
  <c r="I152" i="45"/>
  <c r="J127" i="45"/>
  <c r="J153" i="45" s="1"/>
  <c r="K127" i="45"/>
  <c r="L127" i="45"/>
  <c r="L153" i="45"/>
  <c r="E126" i="45"/>
  <c r="E127" i="45"/>
  <c r="E113" i="45"/>
  <c r="E114" i="45"/>
  <c r="E115" i="45"/>
  <c r="E116" i="45"/>
  <c r="E117" i="45"/>
  <c r="E107" i="45"/>
  <c r="E108" i="45"/>
  <c r="E109" i="45"/>
  <c r="E110" i="45"/>
  <c r="E111" i="45"/>
  <c r="E101" i="45"/>
  <c r="E102" i="45"/>
  <c r="E103" i="45"/>
  <c r="E104" i="45"/>
  <c r="E105" i="45"/>
  <c r="E77" i="45"/>
  <c r="E78" i="45"/>
  <c r="E79" i="45"/>
  <c r="E80" i="45"/>
  <c r="E81" i="45"/>
  <c r="J81" i="45"/>
  <c r="K81" i="45"/>
  <c r="K150" i="45" s="1"/>
  <c r="L81" i="45"/>
  <c r="L150" i="45" s="1"/>
  <c r="M5" i="90"/>
  <c r="N5" i="90"/>
  <c r="L5" i="90" s="1"/>
  <c r="M6" i="90"/>
  <c r="N6" i="90"/>
  <c r="M7" i="90"/>
  <c r="N7" i="90"/>
  <c r="M8" i="90"/>
  <c r="L8" i="90" s="1"/>
  <c r="N8" i="90"/>
  <c r="N33" i="90"/>
  <c r="M33" i="90"/>
  <c r="L33" i="90"/>
  <c r="K33" i="90"/>
  <c r="J33" i="90"/>
  <c r="L38" i="90"/>
  <c r="M37" i="90"/>
  <c r="N37" i="90" s="1"/>
  <c r="N38" i="90" s="1"/>
  <c r="AQ11" i="41" s="1"/>
  <c r="AP11" i="41"/>
  <c r="DN78" i="41"/>
  <c r="AP10" i="41"/>
  <c r="DN77" i="41" s="1"/>
  <c r="AP9" i="41"/>
  <c r="AP8" i="41"/>
  <c r="DN75" i="41" s="1"/>
  <c r="AP7" i="41"/>
  <c r="DN74" i="41" s="1"/>
  <c r="AP6" i="41"/>
  <c r="AP5" i="41"/>
  <c r="AP12" i="41"/>
  <c r="DN79" i="41" s="1"/>
  <c r="J31" i="77"/>
  <c r="I31" i="77"/>
  <c r="AO11" i="41"/>
  <c r="DO78" i="41" s="1"/>
  <c r="AO10" i="41"/>
  <c r="DO77" i="41" s="1"/>
  <c r="AO8" i="41"/>
  <c r="DO75" i="41" s="1"/>
  <c r="AO7" i="41"/>
  <c r="AO6" i="41"/>
  <c r="DO73" i="41" s="1"/>
  <c r="AO5" i="41"/>
  <c r="AO9" i="41"/>
  <c r="DO76" i="41" s="1"/>
  <c r="AN10" i="41"/>
  <c r="AN5" i="41"/>
  <c r="M5" i="88"/>
  <c r="N5" i="88"/>
  <c r="L5" i="88" s="1"/>
  <c r="M6" i="88"/>
  <c r="N6" i="88"/>
  <c r="M7" i="88"/>
  <c r="N7" i="88"/>
  <c r="M8" i="88"/>
  <c r="N8" i="88"/>
  <c r="L8" i="88" s="1"/>
  <c r="N33" i="88"/>
  <c r="M33" i="88"/>
  <c r="L33" i="88"/>
  <c r="K33" i="88"/>
  <c r="J33" i="88"/>
  <c r="L38" i="88"/>
  <c r="M37" i="88"/>
  <c r="N37" i="88" s="1"/>
  <c r="N38" i="88" s="1"/>
  <c r="AN11" i="41" s="1"/>
  <c r="DP78" i="41" s="1"/>
  <c r="AM10" i="41"/>
  <c r="N7" i="87"/>
  <c r="AM7" i="41" s="1"/>
  <c r="DQ74" i="41" s="1"/>
  <c r="AM5" i="41"/>
  <c r="DQ72" i="41" s="1"/>
  <c r="M5" i="87"/>
  <c r="N5" i="87"/>
  <c r="M6" i="87"/>
  <c r="N6" i="87"/>
  <c r="M7" i="87"/>
  <c r="M8" i="87"/>
  <c r="N8" i="87"/>
  <c r="N33" i="87"/>
  <c r="M33" i="87"/>
  <c r="L33" i="87"/>
  <c r="K33" i="87"/>
  <c r="J33" i="87"/>
  <c r="L38" i="87"/>
  <c r="M37" i="87"/>
  <c r="N37" i="87" s="1"/>
  <c r="N38" i="87" s="1"/>
  <c r="AM11" i="41" s="1"/>
  <c r="DQ78" i="41" s="1"/>
  <c r="AL10" i="41"/>
  <c r="L19" i="77"/>
  <c r="AL5" i="41"/>
  <c r="K6" i="86"/>
  <c r="K6" i="87" s="1"/>
  <c r="K6" i="88" s="1"/>
  <c r="K6" i="90" s="1"/>
  <c r="K7" i="86"/>
  <c r="K7" i="87" s="1"/>
  <c r="K7" i="88" s="1"/>
  <c r="K7" i="90" s="1"/>
  <c r="M5" i="86"/>
  <c r="N5" i="86"/>
  <c r="M6" i="86"/>
  <c r="N6" i="86"/>
  <c r="M7" i="86"/>
  <c r="N7" i="86"/>
  <c r="M8" i="86"/>
  <c r="N8" i="86"/>
  <c r="N33" i="86"/>
  <c r="M33" i="86"/>
  <c r="L33" i="86"/>
  <c r="K33" i="86"/>
  <c r="J33" i="86"/>
  <c r="L38" i="86"/>
  <c r="M37" i="86"/>
  <c r="N37" i="86" s="1"/>
  <c r="N38" i="86" s="1"/>
  <c r="AL11" i="41"/>
  <c r="DR78" i="41" s="1"/>
  <c r="AK10" i="41"/>
  <c r="DS77" i="41" s="1"/>
  <c r="N7" i="85"/>
  <c r="AK7" i="41" s="1"/>
  <c r="DS74" i="41" s="1"/>
  <c r="AK5" i="41"/>
  <c r="DS72" i="41" s="1"/>
  <c r="M5" i="85"/>
  <c r="N5" i="85"/>
  <c r="AK9" i="41" s="1"/>
  <c r="DS76" i="41" s="1"/>
  <c r="M6" i="85"/>
  <c r="L6" i="85" s="1"/>
  <c r="N6" i="85"/>
  <c r="M7" i="85"/>
  <c r="M8" i="85"/>
  <c r="L8" i="85" s="1"/>
  <c r="N8" i="85"/>
  <c r="AK8" i="41" s="1"/>
  <c r="DS75" i="41" s="1"/>
  <c r="N33" i="85"/>
  <c r="M33" i="85"/>
  <c r="L33" i="85"/>
  <c r="K33" i="85"/>
  <c r="J33" i="85"/>
  <c r="L38" i="85"/>
  <c r="M37" i="85"/>
  <c r="N37" i="85" s="1"/>
  <c r="N38" i="85" s="1"/>
  <c r="AK11" i="41" s="1"/>
  <c r="DS78" i="41" s="1"/>
  <c r="AJ10" i="41"/>
  <c r="DT77" i="41" s="1"/>
  <c r="AJ5" i="41"/>
  <c r="DT72" i="41" s="1"/>
  <c r="M5" i="84"/>
  <c r="N5" i="84"/>
  <c r="M6" i="84"/>
  <c r="N6" i="84"/>
  <c r="M7" i="84"/>
  <c r="N7" i="84"/>
  <c r="M8" i="84"/>
  <c r="N8" i="84"/>
  <c r="AJ8" i="41" s="1"/>
  <c r="DT75" i="41" s="1"/>
  <c r="N33" i="84"/>
  <c r="M33" i="84"/>
  <c r="L33" i="84"/>
  <c r="K33" i="84"/>
  <c r="J33" i="84"/>
  <c r="L38" i="84"/>
  <c r="M37" i="84"/>
  <c r="N37" i="84" s="1"/>
  <c r="N38" i="84" s="1"/>
  <c r="AJ11" i="41" s="1"/>
  <c r="DT78" i="41" s="1"/>
  <c r="AI10" i="41"/>
  <c r="DU77" i="41" s="1"/>
  <c r="N7" i="83"/>
  <c r="AI7" i="41" s="1"/>
  <c r="DU74" i="41" s="1"/>
  <c r="AI5" i="41"/>
  <c r="K8" i="83"/>
  <c r="K8" i="84" s="1"/>
  <c r="K8" i="85" s="1"/>
  <c r="K8" i="86" s="1"/>
  <c r="K8" i="87" s="1"/>
  <c r="K8" i="88" s="1"/>
  <c r="K8" i="90" s="1"/>
  <c r="M5" i="83"/>
  <c r="N5" i="83"/>
  <c r="AI9" i="41" s="1"/>
  <c r="M6" i="83"/>
  <c r="N6" i="83"/>
  <c r="M7" i="83"/>
  <c r="M8" i="83"/>
  <c r="N8" i="83"/>
  <c r="AI8" i="41" s="1"/>
  <c r="DU75" i="41" s="1"/>
  <c r="N33" i="83"/>
  <c r="M33" i="83"/>
  <c r="L33" i="83"/>
  <c r="K33" i="83"/>
  <c r="J33" i="83"/>
  <c r="L38" i="83"/>
  <c r="M37" i="83"/>
  <c r="N37" i="83" s="1"/>
  <c r="N38" i="83" s="1"/>
  <c r="AI11" i="41" s="1"/>
  <c r="DU78" i="41" s="1"/>
  <c r="AH10" i="41"/>
  <c r="N5" i="82"/>
  <c r="N6" i="82"/>
  <c r="AH6" i="41"/>
  <c r="DV73" i="41" s="1"/>
  <c r="AH5" i="41"/>
  <c r="DV72" i="41" s="1"/>
  <c r="N7" i="82"/>
  <c r="M7" i="82"/>
  <c r="M5" i="82"/>
  <c r="M6" i="82"/>
  <c r="M8" i="82"/>
  <c r="N8" i="82"/>
  <c r="AH8" i="41" s="1"/>
  <c r="DV75" i="41" s="1"/>
  <c r="N33" i="82"/>
  <c r="M33" i="82"/>
  <c r="L33" i="82"/>
  <c r="K33" i="82"/>
  <c r="J33" i="82"/>
  <c r="L38" i="82"/>
  <c r="M37" i="82"/>
  <c r="N37" i="82" s="1"/>
  <c r="N38" i="82" s="1"/>
  <c r="AH11" i="41" s="1"/>
  <c r="DV78" i="41" s="1"/>
  <c r="AG10" i="41"/>
  <c r="DW77" i="41" s="1"/>
  <c r="AG5" i="41"/>
  <c r="DW72" i="41" s="1"/>
  <c r="K5" i="81"/>
  <c r="K5" i="82" s="1"/>
  <c r="K5" i="83" s="1"/>
  <c r="K5" i="84" s="1"/>
  <c r="K5" i="85" s="1"/>
  <c r="K5" i="86" s="1"/>
  <c r="K5" i="87" s="1"/>
  <c r="K5" i="88" s="1"/>
  <c r="K5" i="90" s="1"/>
  <c r="M5" i="81"/>
  <c r="N5" i="81"/>
  <c r="N6" i="81"/>
  <c r="M6" i="81"/>
  <c r="M7" i="81"/>
  <c r="N7" i="81"/>
  <c r="AG7" i="41" s="1"/>
  <c r="M8" i="81"/>
  <c r="N8" i="81"/>
  <c r="N33" i="81"/>
  <c r="M33" i="81"/>
  <c r="L33" i="81"/>
  <c r="K33" i="81"/>
  <c r="J33" i="81"/>
  <c r="L38" i="81"/>
  <c r="M37" i="81"/>
  <c r="N37" i="81" s="1"/>
  <c r="N38" i="81" s="1"/>
  <c r="AG11" i="41" s="1"/>
  <c r="DW78" i="41" s="1"/>
  <c r="AF10" i="41"/>
  <c r="DX77" i="41" s="1"/>
  <c r="N5" i="80"/>
  <c r="AF9" i="41" s="1"/>
  <c r="DX76" i="41" s="1"/>
  <c r="N6" i="80"/>
  <c r="AF5" i="41"/>
  <c r="DX72" i="41" s="1"/>
  <c r="M5" i="80"/>
  <c r="M6" i="80"/>
  <c r="M7" i="80"/>
  <c r="N7" i="80"/>
  <c r="M8" i="80"/>
  <c r="N8" i="80"/>
  <c r="N33" i="80"/>
  <c r="M33" i="80"/>
  <c r="L33" i="80"/>
  <c r="K33" i="80"/>
  <c r="J33" i="80"/>
  <c r="L38" i="80"/>
  <c r="M37" i="80"/>
  <c r="N37" i="80" s="1"/>
  <c r="N38" i="80" s="1"/>
  <c r="AF11" i="41" s="1"/>
  <c r="DX78" i="41" s="1"/>
  <c r="AE10" i="41"/>
  <c r="DY77" i="41" s="1"/>
  <c r="AE6" i="41"/>
  <c r="DY73" i="41" s="1"/>
  <c r="AE5" i="41"/>
  <c r="DY72" i="41" s="1"/>
  <c r="M5" i="79"/>
  <c r="N5" i="79"/>
  <c r="M6" i="79"/>
  <c r="N6" i="79"/>
  <c r="M7" i="79"/>
  <c r="N7" i="79"/>
  <c r="AE7" i="41"/>
  <c r="DY74" i="41" s="1"/>
  <c r="M8" i="79"/>
  <c r="L8" i="79" s="1"/>
  <c r="N8" i="79"/>
  <c r="AE8" i="41" s="1"/>
  <c r="DY75" i="41" s="1"/>
  <c r="N33" i="79"/>
  <c r="M33" i="79"/>
  <c r="L33" i="79"/>
  <c r="K33" i="79"/>
  <c r="J33" i="79"/>
  <c r="L38" i="79"/>
  <c r="M37" i="79"/>
  <c r="N37" i="79" s="1"/>
  <c r="N38" i="79" s="1"/>
  <c r="AE11" i="41" s="1"/>
  <c r="DY78" i="41" s="1"/>
  <c r="AD10" i="41"/>
  <c r="DZ77" i="41" s="1"/>
  <c r="AD6" i="41"/>
  <c r="DZ73" i="41" s="1"/>
  <c r="AD5" i="41"/>
  <c r="DZ72" i="41"/>
  <c r="M5" i="78"/>
  <c r="N5" i="78"/>
  <c r="AD9" i="41" s="1"/>
  <c r="DZ76" i="41" s="1"/>
  <c r="N6" i="78"/>
  <c r="M6" i="78"/>
  <c r="M7" i="78"/>
  <c r="N7" i="78"/>
  <c r="M8" i="78"/>
  <c r="N8" i="78"/>
  <c r="AD8" i="41" s="1"/>
  <c r="DZ75" i="41" s="1"/>
  <c r="N33" i="78"/>
  <c r="M33" i="78"/>
  <c r="L33" i="78"/>
  <c r="K33" i="78"/>
  <c r="J33" i="78"/>
  <c r="L38" i="78"/>
  <c r="M37" i="78"/>
  <c r="N37" i="78" s="1"/>
  <c r="N38" i="78" s="1"/>
  <c r="AD11" i="41" s="1"/>
  <c r="DZ78" i="41" s="1"/>
  <c r="K35" i="77"/>
  <c r="K36" i="77" s="1"/>
  <c r="J35" i="77"/>
  <c r="J36" i="77" s="1"/>
  <c r="I35" i="77"/>
  <c r="I36" i="77" s="1"/>
  <c r="I26" i="77"/>
  <c r="J26" i="77"/>
  <c r="I27" i="77"/>
  <c r="J27" i="77"/>
  <c r="I28" i="77"/>
  <c r="J28" i="77"/>
  <c r="J25" i="77"/>
  <c r="I25" i="77"/>
  <c r="L24" i="77"/>
  <c r="L32" i="77" s="1"/>
  <c r="K24" i="77"/>
  <c r="K32" i="77" s="1"/>
  <c r="I21" i="77"/>
  <c r="J21" i="77"/>
  <c r="I22" i="77"/>
  <c r="J22" i="77"/>
  <c r="I23" i="77"/>
  <c r="J23" i="77"/>
  <c r="J20" i="77"/>
  <c r="I20" i="77"/>
  <c r="M19" i="77"/>
  <c r="M33" i="77" s="1"/>
  <c r="K19" i="77"/>
  <c r="J15" i="77"/>
  <c r="J16" i="77"/>
  <c r="J17" i="77"/>
  <c r="J18" i="77"/>
  <c r="I16" i="77"/>
  <c r="I17" i="77"/>
  <c r="I18" i="77"/>
  <c r="I15" i="77"/>
  <c r="L10" i="77"/>
  <c r="K10" i="77" s="1"/>
  <c r="L9" i="77"/>
  <c r="K9" i="77" s="1"/>
  <c r="L7" i="77"/>
  <c r="K7" i="77" s="1"/>
  <c r="L6" i="77"/>
  <c r="J10" i="77"/>
  <c r="J9" i="77"/>
  <c r="J7" i="77"/>
  <c r="J6" i="77"/>
  <c r="I10" i="77"/>
  <c r="I9" i="77"/>
  <c r="I6" i="77"/>
  <c r="I8" i="77" s="1"/>
  <c r="I7" i="77"/>
  <c r="AC10" i="41"/>
  <c r="AC6" i="41"/>
  <c r="AC5" i="41"/>
  <c r="EA72" i="41" s="1"/>
  <c r="M5" i="75"/>
  <c r="N5" i="75"/>
  <c r="M6" i="75"/>
  <c r="N6" i="75"/>
  <c r="M7" i="75"/>
  <c r="N7" i="75"/>
  <c r="M8" i="75"/>
  <c r="N8" i="75"/>
  <c r="N33" i="75"/>
  <c r="M33" i="75"/>
  <c r="L33" i="75"/>
  <c r="K33" i="75"/>
  <c r="J33" i="75"/>
  <c r="AB10" i="41"/>
  <c r="EB77" i="41"/>
  <c r="AB6" i="41"/>
  <c r="AB5" i="41"/>
  <c r="EB72" i="41" s="1"/>
  <c r="M5" i="74"/>
  <c r="N5" i="74"/>
  <c r="M6" i="74"/>
  <c r="N6" i="74"/>
  <c r="AB9" i="41" s="1"/>
  <c r="EB76" i="41" s="1"/>
  <c r="M7" i="74"/>
  <c r="N7" i="74"/>
  <c r="M8" i="74"/>
  <c r="N8" i="74"/>
  <c r="N33" i="74"/>
  <c r="M33" i="74"/>
  <c r="L33" i="74"/>
  <c r="K33" i="74"/>
  <c r="J33" i="74"/>
  <c r="AA10" i="41"/>
  <c r="EC77" i="41" s="1"/>
  <c r="AA6" i="41"/>
  <c r="EC73" i="41" s="1"/>
  <c r="AA5" i="41"/>
  <c r="EC72" i="41" s="1"/>
  <c r="M5" i="73"/>
  <c r="N5" i="73"/>
  <c r="M6" i="73"/>
  <c r="N6" i="73"/>
  <c r="M7" i="73"/>
  <c r="N7" i="73"/>
  <c r="AA7" i="41" s="1"/>
  <c r="EC74" i="41" s="1"/>
  <c r="M8" i="73"/>
  <c r="N8" i="73"/>
  <c r="AA8" i="41" s="1"/>
  <c r="EC75" i="41" s="1"/>
  <c r="N33" i="73"/>
  <c r="N34" i="73" s="1"/>
  <c r="M33" i="73"/>
  <c r="L33" i="73"/>
  <c r="K33" i="73"/>
  <c r="J33" i="73"/>
  <c r="L123" i="45"/>
  <c r="X5" i="41"/>
  <c r="EF72" i="41" s="1"/>
  <c r="Y5" i="41"/>
  <c r="EE72" i="41" s="1"/>
  <c r="Z5" i="41"/>
  <c r="N31" i="60"/>
  <c r="N31" i="61"/>
  <c r="N34" i="71"/>
  <c r="N35" i="71" s="1"/>
  <c r="M37" i="62"/>
  <c r="N37" i="62" s="1"/>
  <c r="N38" i="62" s="1"/>
  <c r="L38" i="73"/>
  <c r="M37" i="73"/>
  <c r="N37" i="73" s="1"/>
  <c r="N38" i="73" s="1"/>
  <c r="AA11" i="41" s="1"/>
  <c r="EC78" i="41" s="1"/>
  <c r="L38" i="74"/>
  <c r="M37" i="74"/>
  <c r="N37" i="74" s="1"/>
  <c r="N38" i="74" s="1"/>
  <c r="AB11" i="41" s="1"/>
  <c r="EB78" i="41" s="1"/>
  <c r="L38" i="75"/>
  <c r="M37" i="75"/>
  <c r="N37" i="75" s="1"/>
  <c r="N38" i="75" s="1"/>
  <c r="AC11" i="41" s="1"/>
  <c r="EA78" i="41" s="1"/>
  <c r="K123" i="45"/>
  <c r="J123" i="45"/>
  <c r="I123" i="45"/>
  <c r="Z10" i="41"/>
  <c r="ED77" i="41" s="1"/>
  <c r="K6" i="72"/>
  <c r="K6" i="73" s="1"/>
  <c r="K6" i="74" s="1"/>
  <c r="K6" i="75" s="1"/>
  <c r="K6" i="78" s="1"/>
  <c r="K6" i="79" s="1"/>
  <c r="K6" i="80" s="1"/>
  <c r="K6" i="81" s="1"/>
  <c r="K6" i="82" s="1"/>
  <c r="K6" i="83" s="1"/>
  <c r="K6" i="84" s="1"/>
  <c r="K7" i="72"/>
  <c r="K7" i="73" s="1"/>
  <c r="K7" i="74" s="1"/>
  <c r="K7" i="75" s="1"/>
  <c r="K7" i="78" s="1"/>
  <c r="K7" i="79" s="1"/>
  <c r="K7" i="80" s="1"/>
  <c r="K7" i="81" s="1"/>
  <c r="K7" i="82" s="1"/>
  <c r="K7" i="83" s="1"/>
  <c r="K7" i="84" s="1"/>
  <c r="M5" i="72"/>
  <c r="N5" i="72"/>
  <c r="M6" i="72"/>
  <c r="N6" i="72"/>
  <c r="L6" i="72" s="1"/>
  <c r="M7" i="72"/>
  <c r="N7" i="72"/>
  <c r="L7" i="72" s="1"/>
  <c r="M8" i="72"/>
  <c r="N8" i="72"/>
  <c r="Z8" i="41" s="1"/>
  <c r="ED75" i="41" s="1"/>
  <c r="K33" i="72"/>
  <c r="L33" i="72"/>
  <c r="M33" i="72"/>
  <c r="N33" i="72"/>
  <c r="J33" i="72"/>
  <c r="L38" i="72"/>
  <c r="M37" i="72"/>
  <c r="N37" i="72" s="1"/>
  <c r="N38" i="72" s="1"/>
  <c r="Z11" i="41" s="1"/>
  <c r="ED78" i="41" s="1"/>
  <c r="N8" i="69"/>
  <c r="Y8" i="41" s="1"/>
  <c r="EE75" i="41" s="1"/>
  <c r="M6" i="69"/>
  <c r="M7" i="69"/>
  <c r="M8" i="69"/>
  <c r="M5" i="69"/>
  <c r="N6" i="69"/>
  <c r="N7" i="69"/>
  <c r="N5" i="69"/>
  <c r="L32" i="69"/>
  <c r="M32" i="69" s="1"/>
  <c r="K32" i="69"/>
  <c r="J32" i="69"/>
  <c r="J33" i="69" s="1"/>
  <c r="N33" i="69"/>
  <c r="O33" i="69"/>
  <c r="L25" i="69"/>
  <c r="L33" i="69" s="1"/>
  <c r="K25" i="69"/>
  <c r="J25" i="69"/>
  <c r="B78" i="41"/>
  <c r="C78" i="41"/>
  <c r="D78" i="41"/>
  <c r="E78" i="41"/>
  <c r="F78" i="41"/>
  <c r="G78" i="41"/>
  <c r="H78" i="41"/>
  <c r="I78" i="41"/>
  <c r="J78" i="41"/>
  <c r="K78" i="41"/>
  <c r="L78" i="41"/>
  <c r="M78" i="41"/>
  <c r="N78" i="41"/>
  <c r="O78" i="41"/>
  <c r="P78" i="41"/>
  <c r="Q78" i="41"/>
  <c r="R78" i="41"/>
  <c r="S78" i="41"/>
  <c r="T78" i="41"/>
  <c r="U78" i="41"/>
  <c r="V78" i="41"/>
  <c r="W78" i="41"/>
  <c r="X78" i="41"/>
  <c r="Y78" i="41"/>
  <c r="Z78" i="41"/>
  <c r="AA78" i="41"/>
  <c r="AB78" i="41"/>
  <c r="AC78" i="41"/>
  <c r="AD78" i="41"/>
  <c r="AE78" i="41"/>
  <c r="AF78" i="41"/>
  <c r="AG78" i="41"/>
  <c r="AH78" i="41"/>
  <c r="AI78" i="41"/>
  <c r="AJ78" i="41"/>
  <c r="AK78" i="41"/>
  <c r="AL78" i="41"/>
  <c r="AM78" i="41"/>
  <c r="AN78" i="41"/>
  <c r="AO78" i="41"/>
  <c r="AP78" i="41"/>
  <c r="AQ78" i="41"/>
  <c r="AR78" i="41"/>
  <c r="AS78" i="41"/>
  <c r="AT78" i="41"/>
  <c r="AU78" i="41"/>
  <c r="AV78" i="41"/>
  <c r="AW78" i="41"/>
  <c r="AX78" i="41"/>
  <c r="AY78" i="41"/>
  <c r="AZ78" i="41"/>
  <c r="BA78" i="41"/>
  <c r="BB78" i="41"/>
  <c r="BC78" i="41"/>
  <c r="BD78" i="41"/>
  <c r="BE78" i="41"/>
  <c r="BF78" i="41"/>
  <c r="BG78" i="41"/>
  <c r="BH78" i="41"/>
  <c r="BI78" i="41"/>
  <c r="BJ78" i="41"/>
  <c r="BK78" i="41"/>
  <c r="BL78" i="41"/>
  <c r="BM78" i="41"/>
  <c r="BN78" i="41"/>
  <c r="BO78" i="41"/>
  <c r="BP78" i="41"/>
  <c r="BQ78" i="41"/>
  <c r="BR78" i="41"/>
  <c r="BS78" i="41"/>
  <c r="BT78" i="41"/>
  <c r="BU78" i="41"/>
  <c r="BV78" i="41"/>
  <c r="BW78" i="41"/>
  <c r="BX78" i="41"/>
  <c r="BY78" i="41"/>
  <c r="BZ78" i="41"/>
  <c r="CA78" i="41"/>
  <c r="CB78" i="41"/>
  <c r="CC78" i="41"/>
  <c r="CD78" i="41"/>
  <c r="CE78" i="41"/>
  <c r="CF78" i="41"/>
  <c r="CG78" i="41"/>
  <c r="CH78" i="41"/>
  <c r="CI78" i="41"/>
  <c r="CJ78" i="41"/>
  <c r="CK78" i="41"/>
  <c r="CL78" i="41"/>
  <c r="CM78" i="41"/>
  <c r="CN78" i="41"/>
  <c r="CO78" i="41"/>
  <c r="CP78" i="41"/>
  <c r="CQ78" i="41"/>
  <c r="CR78" i="41"/>
  <c r="CS78" i="41"/>
  <c r="CT78" i="41"/>
  <c r="CU78" i="41"/>
  <c r="CV78" i="41"/>
  <c r="CW78" i="41"/>
  <c r="CX78" i="41"/>
  <c r="CY78" i="41"/>
  <c r="CZ78" i="41"/>
  <c r="DA78" i="41"/>
  <c r="DB78" i="41"/>
  <c r="DC78" i="41"/>
  <c r="DD78" i="41"/>
  <c r="DE78" i="41"/>
  <c r="DF78" i="41"/>
  <c r="DG78" i="41"/>
  <c r="DH78" i="41"/>
  <c r="DI78" i="41"/>
  <c r="DJ78" i="41"/>
  <c r="DK78" i="41"/>
  <c r="DL78" i="41"/>
  <c r="M5" i="68"/>
  <c r="N5" i="68"/>
  <c r="M6" i="68"/>
  <c r="N6" i="68"/>
  <c r="M7" i="68"/>
  <c r="N7" i="68"/>
  <c r="X7" i="41" s="1"/>
  <c r="EF74" i="41" s="1"/>
  <c r="M8" i="68"/>
  <c r="N8" i="68"/>
  <c r="X8" i="41"/>
  <c r="EF75" i="41" s="1"/>
  <c r="X10" i="41"/>
  <c r="O38" i="68"/>
  <c r="M37" i="67"/>
  <c r="W10" i="41"/>
  <c r="EG77" i="41" s="1"/>
  <c r="W5" i="41"/>
  <c r="EG72" i="41" s="1"/>
  <c r="N7" i="67"/>
  <c r="M7" i="67"/>
  <c r="K8" i="67"/>
  <c r="K8" i="68" s="1"/>
  <c r="K8" i="69" s="1"/>
  <c r="K8" i="72" s="1"/>
  <c r="K8" i="73" s="1"/>
  <c r="K8" i="74" s="1"/>
  <c r="K8" i="75" s="1"/>
  <c r="K8" i="78" s="1"/>
  <c r="K8" i="79" s="1"/>
  <c r="K8" i="80" s="1"/>
  <c r="K8" i="81" s="1"/>
  <c r="M5" i="67"/>
  <c r="N5" i="67"/>
  <c r="N6" i="67"/>
  <c r="M6" i="67"/>
  <c r="M8" i="67"/>
  <c r="N8" i="67"/>
  <c r="W8" i="41" s="1"/>
  <c r="EG75" i="41" s="1"/>
  <c r="O38" i="67"/>
  <c r="V10" i="41"/>
  <c r="EH77" i="41" s="1"/>
  <c r="N8" i="66"/>
  <c r="V8" i="41" s="1"/>
  <c r="EH75" i="41"/>
  <c r="V5" i="41"/>
  <c r="EH72" i="41" s="1"/>
  <c r="M5" i="66"/>
  <c r="N5" i="66"/>
  <c r="M6" i="66"/>
  <c r="N6" i="66"/>
  <c r="M7" i="66"/>
  <c r="L7" i="66" s="1"/>
  <c r="N7" i="66"/>
  <c r="V7" i="41" s="1"/>
  <c r="EH74" i="41" s="1"/>
  <c r="M8" i="66"/>
  <c r="L8" i="66"/>
  <c r="EL78" i="41"/>
  <c r="EK78" i="41"/>
  <c r="EY78" i="41"/>
  <c r="EZ78" i="41"/>
  <c r="FA78" i="41"/>
  <c r="O35" i="66"/>
  <c r="P10" i="47"/>
  <c r="P11" i="47"/>
  <c r="U10" i="41"/>
  <c r="EI77" i="41" s="1"/>
  <c r="U5" i="41"/>
  <c r="K5" i="65"/>
  <c r="K5" i="66" s="1"/>
  <c r="K5" i="67" s="1"/>
  <c r="K5" i="68" s="1"/>
  <c r="K5" i="69" s="1"/>
  <c r="K5" i="72" s="1"/>
  <c r="K5" i="73" s="1"/>
  <c r="K5" i="74" s="1"/>
  <c r="K5" i="75" s="1"/>
  <c r="K5" i="78" s="1"/>
  <c r="K5" i="79" s="1"/>
  <c r="M5" i="65"/>
  <c r="N5" i="65"/>
  <c r="N6" i="65"/>
  <c r="M6" i="65"/>
  <c r="M7" i="65"/>
  <c r="N7" i="65"/>
  <c r="M8" i="65"/>
  <c r="N8" i="65"/>
  <c r="U8" i="41" s="1"/>
  <c r="EI75" i="41" s="1"/>
  <c r="L19" i="65"/>
  <c r="M19" i="65" s="1"/>
  <c r="K19" i="65"/>
  <c r="J19" i="65"/>
  <c r="O38" i="65"/>
  <c r="L38" i="69"/>
  <c r="M37" i="69"/>
  <c r="N37" i="69" s="1"/>
  <c r="N38" i="69" s="1"/>
  <c r="Y11" i="41" s="1"/>
  <c r="EE78" i="41" s="1"/>
  <c r="L18" i="69"/>
  <c r="M18" i="69" s="1"/>
  <c r="K18" i="69"/>
  <c r="J18" i="69"/>
  <c r="L38" i="68"/>
  <c r="M37" i="68"/>
  <c r="L38" i="67"/>
  <c r="L35" i="66"/>
  <c r="M34" i="66"/>
  <c r="M35" i="66" s="1"/>
  <c r="L38" i="65"/>
  <c r="M37" i="65"/>
  <c r="N5" i="64"/>
  <c r="M5" i="64"/>
  <c r="L5" i="64" s="1"/>
  <c r="K6" i="64"/>
  <c r="K6" i="65" s="1"/>
  <c r="K6" i="66" s="1"/>
  <c r="K6" i="67" s="1"/>
  <c r="K6" i="68" s="1"/>
  <c r="K7" i="64"/>
  <c r="K7" i="65" s="1"/>
  <c r="K7" i="66" s="1"/>
  <c r="K7" i="67" s="1"/>
  <c r="K7" i="68" s="1"/>
  <c r="K8" i="64"/>
  <c r="K8" i="65" s="1"/>
  <c r="M6" i="64"/>
  <c r="N6" i="64"/>
  <c r="M7" i="64"/>
  <c r="N7" i="64"/>
  <c r="T7" i="41" s="1"/>
  <c r="M8" i="64"/>
  <c r="N8" i="64"/>
  <c r="L19" i="64"/>
  <c r="M19" i="64" s="1"/>
  <c r="K19" i="64"/>
  <c r="J19" i="64"/>
  <c r="CW51" i="45"/>
  <c r="CW52" i="45" s="1"/>
  <c r="CW53" i="45" s="1"/>
  <c r="CW54" i="45" s="1"/>
  <c r="CW55" i="45" s="1"/>
  <c r="CW56" i="45" s="1"/>
  <c r="CW57" i="45" s="1"/>
  <c r="CW58" i="45" s="1"/>
  <c r="CW59" i="45" s="1"/>
  <c r="CW60" i="45" s="1"/>
  <c r="CU52" i="45"/>
  <c r="CU53" i="45"/>
  <c r="CU54" i="45"/>
  <c r="CU55" i="45"/>
  <c r="CU56" i="45"/>
  <c r="CU57" i="45"/>
  <c r="CU58" i="45"/>
  <c r="CU59" i="45"/>
  <c r="CU60" i="45"/>
  <c r="CU51" i="45"/>
  <c r="CT51" i="45" s="1"/>
  <c r="CT52" i="45" s="1"/>
  <c r="CT53" i="45" s="1"/>
  <c r="CT54" i="45" s="1"/>
  <c r="CR49" i="45"/>
  <c r="CR50" i="45" s="1"/>
  <c r="CR51" i="45" s="1"/>
  <c r="CR52" i="45" s="1"/>
  <c r="CR53" i="45" s="1"/>
  <c r="CR54" i="45" s="1"/>
  <c r="CR55" i="45" s="1"/>
  <c r="CR56" i="45" s="1"/>
  <c r="CR57" i="45" s="1"/>
  <c r="CR58" i="45" s="1"/>
  <c r="CR59" i="45" s="1"/>
  <c r="CZ51" i="45"/>
  <c r="CZ52" i="45" s="1"/>
  <c r="CZ53" i="45" s="1"/>
  <c r="CZ54" i="45"/>
  <c r="CZ55" i="45" s="1"/>
  <c r="CZ56" i="45" s="1"/>
  <c r="CZ57" i="45" s="1"/>
  <c r="CZ58" i="45" s="1"/>
  <c r="CZ59" i="45" s="1"/>
  <c r="CZ60" i="45" s="1"/>
  <c r="CZ61" i="45" s="1"/>
  <c r="CZ62" i="45" s="1"/>
  <c r="CZ63" i="45" s="1"/>
  <c r="CZ64" i="45" s="1"/>
  <c r="CZ65" i="45" s="1"/>
  <c r="S7" i="58"/>
  <c r="S6" i="58"/>
  <c r="R7" i="58"/>
  <c r="R6" i="58"/>
  <c r="Q7" i="58"/>
  <c r="Q6" i="58"/>
  <c r="CO82" i="45"/>
  <c r="T10" i="41"/>
  <c r="EJ77" i="41" s="1"/>
  <c r="T5" i="41"/>
  <c r="EJ72" i="41" s="1"/>
  <c r="F25" i="41"/>
  <c r="F24" i="41"/>
  <c r="F23" i="41"/>
  <c r="F22" i="41"/>
  <c r="F21" i="41"/>
  <c r="F20" i="41"/>
  <c r="F19" i="41"/>
  <c r="L38" i="64"/>
  <c r="M37" i="64"/>
  <c r="N37" i="64" s="1"/>
  <c r="N38" i="64" s="1"/>
  <c r="T11" i="41" s="1"/>
  <c r="EJ78" i="41" s="1"/>
  <c r="EI70" i="41"/>
  <c r="EJ70" i="41"/>
  <c r="EI71" i="41"/>
  <c r="EJ71" i="41"/>
  <c r="EI72" i="41"/>
  <c r="EI73" i="41"/>
  <c r="EJ73" i="41"/>
  <c r="J150" i="45"/>
  <c r="J151" i="45"/>
  <c r="J152" i="45"/>
  <c r="M150" i="45"/>
  <c r="K151" i="45"/>
  <c r="L151" i="45"/>
  <c r="M151" i="45"/>
  <c r="K152" i="45"/>
  <c r="L152" i="45"/>
  <c r="M152" i="45"/>
  <c r="K153" i="45"/>
  <c r="L31" i="62"/>
  <c r="L30" i="62"/>
  <c r="L29" i="62"/>
  <c r="L28" i="62"/>
  <c r="L27" i="62"/>
  <c r="L26" i="62"/>
  <c r="L25" i="62"/>
  <c r="L24" i="62"/>
  <c r="L23" i="62"/>
  <c r="L22" i="62"/>
  <c r="L18" i="62"/>
  <c r="L17" i="62"/>
  <c r="L16" i="62"/>
  <c r="L15" i="62"/>
  <c r="L14" i="62"/>
  <c r="L8" i="62"/>
  <c r="L7" i="62"/>
  <c r="L6" i="62"/>
  <c r="L5" i="62"/>
  <c r="L28" i="71"/>
  <c r="L27" i="71"/>
  <c r="L26" i="71"/>
  <c r="L25" i="71"/>
  <c r="L24" i="71"/>
  <c r="L23" i="71"/>
  <c r="L22" i="71"/>
  <c r="L21" i="71"/>
  <c r="L17" i="71"/>
  <c r="L16" i="71"/>
  <c r="L15" i="71"/>
  <c r="L14" i="71"/>
  <c r="A80" i="41"/>
  <c r="A81" i="41"/>
  <c r="A79" i="41"/>
  <c r="A71" i="41"/>
  <c r="L35" i="71"/>
  <c r="D122" i="41"/>
  <c r="B70" i="41"/>
  <c r="C70" i="41"/>
  <c r="D70" i="41"/>
  <c r="E70" i="41"/>
  <c r="F70" i="41"/>
  <c r="G70" i="41"/>
  <c r="H70" i="41"/>
  <c r="I70" i="41"/>
  <c r="J70" i="41"/>
  <c r="K70" i="41"/>
  <c r="L70" i="41"/>
  <c r="M70" i="41"/>
  <c r="N70" i="41"/>
  <c r="O70" i="41"/>
  <c r="P70" i="41"/>
  <c r="Q70" i="41"/>
  <c r="R70" i="41"/>
  <c r="S70" i="41"/>
  <c r="T70" i="41"/>
  <c r="U70" i="41"/>
  <c r="V70" i="41"/>
  <c r="W70" i="41"/>
  <c r="X70" i="41"/>
  <c r="Y70" i="41"/>
  <c r="Z70" i="41"/>
  <c r="AA70" i="41"/>
  <c r="AB70" i="41"/>
  <c r="AC70" i="41"/>
  <c r="AD70" i="41"/>
  <c r="AE70" i="41"/>
  <c r="AF70" i="41"/>
  <c r="AG70" i="41"/>
  <c r="AH70" i="41"/>
  <c r="AI70" i="41"/>
  <c r="AJ70" i="41"/>
  <c r="AK70" i="41"/>
  <c r="AL70" i="41"/>
  <c r="AM70" i="41"/>
  <c r="AN70" i="41"/>
  <c r="AO70" i="41"/>
  <c r="AP70" i="41"/>
  <c r="AQ70" i="41"/>
  <c r="AR70" i="41"/>
  <c r="AS70" i="41"/>
  <c r="AT70" i="41"/>
  <c r="AU70" i="41"/>
  <c r="AV70" i="41"/>
  <c r="AW70" i="41"/>
  <c r="AX70" i="41"/>
  <c r="AY70" i="41"/>
  <c r="AZ70" i="41"/>
  <c r="BA70" i="41"/>
  <c r="BB70" i="41"/>
  <c r="BC70" i="41"/>
  <c r="BD70" i="41"/>
  <c r="BE70" i="41"/>
  <c r="BF70" i="41"/>
  <c r="BG70" i="41"/>
  <c r="BH70" i="41"/>
  <c r="BI70" i="41"/>
  <c r="BJ70" i="41"/>
  <c r="BK70" i="41"/>
  <c r="BL70" i="41"/>
  <c r="BM70" i="41"/>
  <c r="BN70" i="41"/>
  <c r="BO70" i="41"/>
  <c r="BP70" i="41"/>
  <c r="BQ70" i="41"/>
  <c r="BR70" i="41"/>
  <c r="BS70" i="41"/>
  <c r="BT70" i="41"/>
  <c r="BU70" i="41"/>
  <c r="BV70" i="41"/>
  <c r="BW70" i="41"/>
  <c r="BX70" i="41"/>
  <c r="BY70" i="41"/>
  <c r="BZ70" i="41"/>
  <c r="CA70" i="41"/>
  <c r="CB70" i="41"/>
  <c r="CC70" i="41"/>
  <c r="CD70" i="41"/>
  <c r="CE70" i="41"/>
  <c r="CF70" i="41"/>
  <c r="CG70" i="41"/>
  <c r="CH70" i="41"/>
  <c r="CI70" i="41"/>
  <c r="CJ70" i="41"/>
  <c r="CK70" i="41"/>
  <c r="CL70" i="41"/>
  <c r="CM70" i="41"/>
  <c r="CN70" i="41"/>
  <c r="CO70" i="41"/>
  <c r="CP70" i="41"/>
  <c r="CQ70" i="41"/>
  <c r="CR70" i="41"/>
  <c r="CS70" i="41"/>
  <c r="CT70" i="41"/>
  <c r="CU70" i="41"/>
  <c r="CV70" i="41"/>
  <c r="CW70" i="41"/>
  <c r="CX70" i="41"/>
  <c r="CY70" i="41"/>
  <c r="CZ70" i="41"/>
  <c r="DA70" i="41"/>
  <c r="DB70" i="41"/>
  <c r="DC70" i="41"/>
  <c r="DD70" i="41"/>
  <c r="DE70" i="41"/>
  <c r="DF70" i="41"/>
  <c r="DG70" i="41"/>
  <c r="DH70" i="41"/>
  <c r="DI70" i="41"/>
  <c r="DJ70" i="41"/>
  <c r="DK70" i="41"/>
  <c r="DL70" i="41"/>
  <c r="DM70" i="41"/>
  <c r="DN70" i="41"/>
  <c r="DO70" i="41"/>
  <c r="DP70" i="41"/>
  <c r="DQ70" i="41"/>
  <c r="B71" i="41"/>
  <c r="C71" i="41"/>
  <c r="D71" i="41"/>
  <c r="E71" i="41"/>
  <c r="F71" i="41"/>
  <c r="G71" i="41"/>
  <c r="H71" i="41"/>
  <c r="I71" i="41"/>
  <c r="J71" i="41"/>
  <c r="K71" i="41"/>
  <c r="L71" i="41"/>
  <c r="M71" i="41"/>
  <c r="N71" i="41"/>
  <c r="O71" i="41"/>
  <c r="P71" i="41"/>
  <c r="Q71" i="41"/>
  <c r="R71" i="41"/>
  <c r="S71" i="41"/>
  <c r="T71" i="41"/>
  <c r="U71" i="41"/>
  <c r="V71" i="41"/>
  <c r="W71" i="41"/>
  <c r="X71" i="41"/>
  <c r="Y71" i="41"/>
  <c r="Z71" i="41"/>
  <c r="AA71" i="41"/>
  <c r="AB71" i="41"/>
  <c r="AC71" i="41"/>
  <c r="AD71" i="41"/>
  <c r="AE71" i="41"/>
  <c r="AF71" i="41"/>
  <c r="AG71" i="41"/>
  <c r="AH71" i="41"/>
  <c r="AI71" i="41"/>
  <c r="AJ71" i="41"/>
  <c r="AK71" i="41"/>
  <c r="AL71" i="41"/>
  <c r="AM71" i="41"/>
  <c r="AN71" i="41"/>
  <c r="AO71" i="41"/>
  <c r="AP71" i="41"/>
  <c r="AQ71" i="41"/>
  <c r="AR71" i="41"/>
  <c r="AS71" i="41"/>
  <c r="AT71" i="41"/>
  <c r="AU71" i="41"/>
  <c r="AV71" i="41"/>
  <c r="AW71" i="41"/>
  <c r="AX71" i="41"/>
  <c r="AY71" i="41"/>
  <c r="AZ71" i="41"/>
  <c r="BA71" i="41"/>
  <c r="BB71" i="41"/>
  <c r="BC71" i="41"/>
  <c r="BD71" i="41"/>
  <c r="BE71" i="41"/>
  <c r="BF71" i="41"/>
  <c r="BG71" i="41"/>
  <c r="BH71" i="41"/>
  <c r="BI71" i="41"/>
  <c r="BJ71" i="41"/>
  <c r="BK71" i="41"/>
  <c r="BL71" i="41"/>
  <c r="BM71" i="41"/>
  <c r="BN71" i="41"/>
  <c r="BO71" i="41"/>
  <c r="BP71" i="41"/>
  <c r="BQ71" i="41"/>
  <c r="BR71" i="41"/>
  <c r="BS71" i="41"/>
  <c r="BT71" i="41"/>
  <c r="BU71" i="41"/>
  <c r="BV71" i="41"/>
  <c r="BW71" i="41"/>
  <c r="BX71" i="41"/>
  <c r="BY71" i="41"/>
  <c r="BZ71" i="41"/>
  <c r="CA71" i="41"/>
  <c r="CB71" i="41"/>
  <c r="CC71" i="41"/>
  <c r="CD71" i="41"/>
  <c r="CE71" i="41"/>
  <c r="CF71" i="41"/>
  <c r="CG71" i="41"/>
  <c r="CH71" i="41"/>
  <c r="CI71" i="41"/>
  <c r="CJ71" i="41"/>
  <c r="CK71" i="41"/>
  <c r="CL71" i="41"/>
  <c r="CM71" i="41"/>
  <c r="CN71" i="41"/>
  <c r="CO71" i="41"/>
  <c r="CP71" i="41"/>
  <c r="CQ71" i="41"/>
  <c r="CR71" i="41"/>
  <c r="CS71" i="41"/>
  <c r="CT71" i="41"/>
  <c r="CU71" i="41"/>
  <c r="CV71" i="41"/>
  <c r="CW71" i="41"/>
  <c r="CX71" i="41"/>
  <c r="CY71" i="41"/>
  <c r="CZ71" i="41"/>
  <c r="DA71" i="41"/>
  <c r="DB71" i="41"/>
  <c r="DC71" i="41"/>
  <c r="DD71" i="41"/>
  <c r="DE71" i="41"/>
  <c r="DF71" i="41"/>
  <c r="DG71" i="41"/>
  <c r="DH71" i="41"/>
  <c r="DI71" i="41"/>
  <c r="DJ71" i="41"/>
  <c r="DK71" i="41"/>
  <c r="DL71" i="41"/>
  <c r="DM71" i="41"/>
  <c r="DN71" i="41"/>
  <c r="DO71" i="41"/>
  <c r="DP71" i="41"/>
  <c r="DQ71" i="41"/>
  <c r="B72" i="41"/>
  <c r="C72" i="41"/>
  <c r="D72" i="41"/>
  <c r="E72" i="41"/>
  <c r="F72" i="41"/>
  <c r="G72" i="41"/>
  <c r="H72" i="41"/>
  <c r="I72" i="41"/>
  <c r="J72" i="41"/>
  <c r="K72" i="41"/>
  <c r="L72" i="41"/>
  <c r="M72" i="41"/>
  <c r="N72" i="41"/>
  <c r="O72" i="41"/>
  <c r="P72" i="41"/>
  <c r="Q72" i="41"/>
  <c r="R72" i="41"/>
  <c r="S72" i="41"/>
  <c r="T72" i="41"/>
  <c r="U72" i="41"/>
  <c r="V72" i="41"/>
  <c r="W72" i="41"/>
  <c r="X72" i="41"/>
  <c r="Y72" i="41"/>
  <c r="Z72" i="41"/>
  <c r="AA72" i="41"/>
  <c r="AB72" i="41"/>
  <c r="AC72" i="41"/>
  <c r="AD72" i="41"/>
  <c r="AE72" i="41"/>
  <c r="AF72" i="41"/>
  <c r="AG72" i="41"/>
  <c r="AH72" i="41"/>
  <c r="AI72" i="41"/>
  <c r="AJ72" i="41"/>
  <c r="AK72" i="41"/>
  <c r="AL72" i="41"/>
  <c r="AM72" i="41"/>
  <c r="AN72" i="41"/>
  <c r="AO72" i="41"/>
  <c r="AP72" i="41"/>
  <c r="AQ72" i="41"/>
  <c r="AR72" i="41"/>
  <c r="AS72" i="41"/>
  <c r="AT72" i="41"/>
  <c r="AU72" i="41"/>
  <c r="AV72" i="41"/>
  <c r="AW72" i="41"/>
  <c r="AX72" i="41"/>
  <c r="AY72" i="41"/>
  <c r="AZ72" i="41"/>
  <c r="BA72" i="41"/>
  <c r="BB72" i="41"/>
  <c r="BC72" i="41"/>
  <c r="BD72" i="41"/>
  <c r="BE72" i="41"/>
  <c r="BF72" i="41"/>
  <c r="BG72" i="41"/>
  <c r="BH72" i="41"/>
  <c r="BI72" i="41"/>
  <c r="BJ72" i="41"/>
  <c r="BK72" i="41"/>
  <c r="BL72" i="41"/>
  <c r="BM72" i="41"/>
  <c r="BN72" i="41"/>
  <c r="BO72" i="41"/>
  <c r="BP72" i="41"/>
  <c r="BQ72" i="41"/>
  <c r="BR72" i="41"/>
  <c r="BS72" i="41"/>
  <c r="BT72" i="41"/>
  <c r="BU72" i="41"/>
  <c r="BV72" i="41"/>
  <c r="BW72" i="41"/>
  <c r="BX72" i="41"/>
  <c r="BY72" i="41"/>
  <c r="BZ72" i="41"/>
  <c r="CA72" i="41"/>
  <c r="CB72" i="41"/>
  <c r="CC72" i="41"/>
  <c r="CD72" i="41"/>
  <c r="CE72" i="41"/>
  <c r="CF72" i="41"/>
  <c r="CG72" i="41"/>
  <c r="CH72" i="41"/>
  <c r="CI72" i="41"/>
  <c r="CJ72" i="41"/>
  <c r="CK72" i="41"/>
  <c r="CL72" i="41"/>
  <c r="CM72" i="41"/>
  <c r="CN72" i="41"/>
  <c r="CO72" i="41"/>
  <c r="CP72" i="41"/>
  <c r="CQ72" i="41"/>
  <c r="CR72" i="41"/>
  <c r="CS72" i="41"/>
  <c r="CT72" i="41"/>
  <c r="CU72" i="41"/>
  <c r="CV72" i="41"/>
  <c r="CW72" i="41"/>
  <c r="CX72" i="41"/>
  <c r="CY72" i="41"/>
  <c r="CZ72" i="41"/>
  <c r="DA72" i="41"/>
  <c r="DB72" i="41"/>
  <c r="DC72" i="41"/>
  <c r="DD72" i="41"/>
  <c r="DE72" i="41"/>
  <c r="DF72" i="41"/>
  <c r="DG72" i="41"/>
  <c r="DH72" i="41"/>
  <c r="DI72" i="41"/>
  <c r="DJ72" i="41"/>
  <c r="DK72" i="41"/>
  <c r="DL72" i="41"/>
  <c r="DM72" i="41"/>
  <c r="DN72" i="41"/>
  <c r="DP72" i="41"/>
  <c r="B73" i="41"/>
  <c r="C73" i="41"/>
  <c r="D73" i="41"/>
  <c r="E73" i="41"/>
  <c r="F73" i="41"/>
  <c r="G73" i="41"/>
  <c r="H73" i="41"/>
  <c r="I73" i="41"/>
  <c r="J73" i="41"/>
  <c r="K73" i="41"/>
  <c r="L73" i="41"/>
  <c r="M73" i="41"/>
  <c r="N73" i="41"/>
  <c r="O73" i="41"/>
  <c r="P73" i="41"/>
  <c r="Q73" i="41"/>
  <c r="R73" i="41"/>
  <c r="S73" i="41"/>
  <c r="T73" i="41"/>
  <c r="U73" i="41"/>
  <c r="V73" i="41"/>
  <c r="W73" i="41"/>
  <c r="X73" i="41"/>
  <c r="Y73" i="41"/>
  <c r="Z73" i="41"/>
  <c r="AA73" i="41"/>
  <c r="AB73" i="41"/>
  <c r="AC73" i="41"/>
  <c r="AD73" i="41"/>
  <c r="AE73" i="41"/>
  <c r="AF73" i="41"/>
  <c r="AG73" i="41"/>
  <c r="AH73" i="41"/>
  <c r="AI73" i="41"/>
  <c r="AJ73" i="41"/>
  <c r="AK73" i="41"/>
  <c r="AL73" i="41"/>
  <c r="AM73" i="41"/>
  <c r="AN73" i="41"/>
  <c r="AO73" i="41"/>
  <c r="AP73" i="41"/>
  <c r="AQ73" i="41"/>
  <c r="AR73" i="41"/>
  <c r="AS73" i="41"/>
  <c r="AT73" i="41"/>
  <c r="AU73" i="41"/>
  <c r="AV73" i="41"/>
  <c r="AW73" i="41"/>
  <c r="AX73" i="41"/>
  <c r="AY73" i="41"/>
  <c r="AZ73" i="41"/>
  <c r="BA73" i="41"/>
  <c r="BB73" i="41"/>
  <c r="BC73" i="41"/>
  <c r="BD73" i="41"/>
  <c r="BE73" i="41"/>
  <c r="BF73" i="41"/>
  <c r="BG73" i="41"/>
  <c r="BH73" i="41"/>
  <c r="BI73" i="41"/>
  <c r="BJ73" i="41"/>
  <c r="BK73" i="41"/>
  <c r="BL73" i="41"/>
  <c r="BM73" i="41"/>
  <c r="BN73" i="41"/>
  <c r="BO73" i="41"/>
  <c r="BP73" i="41"/>
  <c r="BQ73" i="41"/>
  <c r="BR73" i="41"/>
  <c r="BS73" i="41"/>
  <c r="BT73" i="41"/>
  <c r="BU73" i="41"/>
  <c r="BV73" i="41"/>
  <c r="BW73" i="41"/>
  <c r="BX73" i="41"/>
  <c r="BY73" i="41"/>
  <c r="BZ73" i="41"/>
  <c r="CA73" i="41"/>
  <c r="CB73" i="41"/>
  <c r="CC73" i="41"/>
  <c r="CD73" i="41"/>
  <c r="CE73" i="41"/>
  <c r="CF73" i="41"/>
  <c r="CG73" i="41"/>
  <c r="CH73" i="41"/>
  <c r="CI73" i="41"/>
  <c r="CJ73" i="41"/>
  <c r="CK73" i="41"/>
  <c r="CL73" i="41"/>
  <c r="CM73" i="41"/>
  <c r="CN73" i="41"/>
  <c r="CO73" i="41"/>
  <c r="CP73" i="41"/>
  <c r="CQ73" i="41"/>
  <c r="CR73" i="41"/>
  <c r="CS73" i="41"/>
  <c r="CT73" i="41"/>
  <c r="CU73" i="41"/>
  <c r="CV73" i="41"/>
  <c r="CW73" i="41"/>
  <c r="CX73" i="41"/>
  <c r="CY73" i="41"/>
  <c r="CZ73" i="41"/>
  <c r="DA73" i="41"/>
  <c r="DB73" i="41"/>
  <c r="DC73" i="41"/>
  <c r="DD73" i="41"/>
  <c r="DE73" i="41"/>
  <c r="DF73" i="41"/>
  <c r="DG73" i="41"/>
  <c r="DH73" i="41"/>
  <c r="DI73" i="41"/>
  <c r="DJ73" i="41"/>
  <c r="DK73" i="41"/>
  <c r="DL73" i="41"/>
  <c r="DM73" i="41"/>
  <c r="DN73" i="41"/>
  <c r="B74" i="41"/>
  <c r="C74" i="41"/>
  <c r="D74" i="41"/>
  <c r="E74" i="41"/>
  <c r="F74" i="41"/>
  <c r="G74" i="41"/>
  <c r="H74" i="41"/>
  <c r="I74" i="41"/>
  <c r="J74" i="41"/>
  <c r="K74" i="41"/>
  <c r="L74" i="41"/>
  <c r="M74" i="41"/>
  <c r="N74" i="41"/>
  <c r="O74" i="41"/>
  <c r="P74" i="41"/>
  <c r="Q74" i="41"/>
  <c r="R74" i="41"/>
  <c r="S74" i="41"/>
  <c r="T74" i="41"/>
  <c r="U74" i="41"/>
  <c r="V74" i="41"/>
  <c r="W74" i="41"/>
  <c r="X74" i="41"/>
  <c r="Y74" i="41"/>
  <c r="Z74" i="41"/>
  <c r="AA74" i="41"/>
  <c r="AB74" i="41"/>
  <c r="AC74" i="41"/>
  <c r="AD74" i="41"/>
  <c r="AE74" i="41"/>
  <c r="AF74" i="41"/>
  <c r="AG74" i="41"/>
  <c r="AH74" i="41"/>
  <c r="AI74" i="41"/>
  <c r="AJ74" i="41"/>
  <c r="AK74" i="41"/>
  <c r="AL74" i="41"/>
  <c r="AM74" i="41"/>
  <c r="AN74" i="41"/>
  <c r="AO74" i="41"/>
  <c r="AP74" i="41"/>
  <c r="AQ74" i="41"/>
  <c r="AR74" i="41"/>
  <c r="AS74" i="41"/>
  <c r="AT74" i="41"/>
  <c r="AU74" i="41"/>
  <c r="AV74" i="41"/>
  <c r="AW74" i="41"/>
  <c r="AX74" i="41"/>
  <c r="AY74" i="41"/>
  <c r="AZ74" i="41"/>
  <c r="BA74" i="41"/>
  <c r="BB74" i="41"/>
  <c r="BC74" i="41"/>
  <c r="BD74" i="41"/>
  <c r="BE74" i="41"/>
  <c r="BF74" i="41"/>
  <c r="BG74" i="41"/>
  <c r="BH74" i="41"/>
  <c r="BI74" i="41"/>
  <c r="BJ74" i="41"/>
  <c r="BK74" i="41"/>
  <c r="BL74" i="41"/>
  <c r="BM74" i="41"/>
  <c r="BN74" i="41"/>
  <c r="BO74" i="41"/>
  <c r="BP74" i="41"/>
  <c r="BQ74" i="41"/>
  <c r="BR74" i="41"/>
  <c r="BS74" i="41"/>
  <c r="BT74" i="41"/>
  <c r="BU74" i="41"/>
  <c r="BV74" i="41"/>
  <c r="BW74" i="41"/>
  <c r="BX74" i="41"/>
  <c r="BY74" i="41"/>
  <c r="BZ74" i="41"/>
  <c r="CA74" i="41"/>
  <c r="CB74" i="41"/>
  <c r="CC74" i="41"/>
  <c r="CD74" i="41"/>
  <c r="CE74" i="41"/>
  <c r="CF74" i="41"/>
  <c r="CG74" i="41"/>
  <c r="CH74" i="41"/>
  <c r="CI74" i="41"/>
  <c r="CJ74" i="41"/>
  <c r="CK74" i="41"/>
  <c r="CL74" i="41"/>
  <c r="CM74" i="41"/>
  <c r="CN74" i="41"/>
  <c r="CO74" i="41"/>
  <c r="CP74" i="41"/>
  <c r="CQ74" i="41"/>
  <c r="CR74" i="41"/>
  <c r="CS74" i="41"/>
  <c r="CT74" i="41"/>
  <c r="CU74" i="41"/>
  <c r="CV74" i="41"/>
  <c r="CW74" i="41"/>
  <c r="CX74" i="41"/>
  <c r="CY74" i="41"/>
  <c r="CZ74" i="41"/>
  <c r="DA74" i="41"/>
  <c r="DB74" i="41"/>
  <c r="DC74" i="41"/>
  <c r="DD74" i="41"/>
  <c r="DE74" i="41"/>
  <c r="DF74" i="41"/>
  <c r="DG74" i="41"/>
  <c r="DH74" i="41"/>
  <c r="DI74" i="41"/>
  <c r="DJ74" i="41"/>
  <c r="DK74" i="41"/>
  <c r="DL74" i="41"/>
  <c r="DM74" i="41"/>
  <c r="DO74" i="41"/>
  <c r="B75" i="41"/>
  <c r="C75" i="41"/>
  <c r="D75" i="41"/>
  <c r="E75" i="41"/>
  <c r="F75" i="41"/>
  <c r="G75" i="41"/>
  <c r="H75" i="41"/>
  <c r="I75" i="41"/>
  <c r="J75" i="41"/>
  <c r="K75" i="41"/>
  <c r="L75" i="41"/>
  <c r="M75" i="41"/>
  <c r="N75" i="41"/>
  <c r="O75" i="41"/>
  <c r="P75" i="41"/>
  <c r="Q75" i="41"/>
  <c r="R75" i="41"/>
  <c r="S75" i="41"/>
  <c r="T75" i="41"/>
  <c r="U75" i="41"/>
  <c r="V75" i="41"/>
  <c r="W75" i="41"/>
  <c r="X75" i="41"/>
  <c r="Y75" i="41"/>
  <c r="Z75" i="41"/>
  <c r="AA75" i="41"/>
  <c r="AB75" i="41"/>
  <c r="AC75" i="41"/>
  <c r="AD75" i="41"/>
  <c r="AE75" i="41"/>
  <c r="AF75" i="41"/>
  <c r="AG75" i="41"/>
  <c r="AH75" i="41"/>
  <c r="AI75" i="41"/>
  <c r="AJ75" i="41"/>
  <c r="AK75" i="41"/>
  <c r="AL75" i="41"/>
  <c r="AM75" i="41"/>
  <c r="AN75" i="41"/>
  <c r="AO75" i="41"/>
  <c r="AP75" i="41"/>
  <c r="AQ75" i="41"/>
  <c r="AR75" i="41"/>
  <c r="AS75" i="41"/>
  <c r="AT75" i="41"/>
  <c r="AU75" i="41"/>
  <c r="AV75" i="41"/>
  <c r="AW75" i="41"/>
  <c r="AX75" i="41"/>
  <c r="AY75" i="41"/>
  <c r="AZ75" i="41"/>
  <c r="BA75" i="41"/>
  <c r="BB75" i="41"/>
  <c r="BC75" i="41"/>
  <c r="BD75" i="41"/>
  <c r="BE75" i="41"/>
  <c r="BF75" i="41"/>
  <c r="BG75" i="41"/>
  <c r="BH75" i="41"/>
  <c r="BI75" i="41"/>
  <c r="BJ75" i="41"/>
  <c r="BK75" i="41"/>
  <c r="BL75" i="41"/>
  <c r="BM75" i="41"/>
  <c r="BN75" i="41"/>
  <c r="BO75" i="41"/>
  <c r="BP75" i="41"/>
  <c r="BQ75" i="41"/>
  <c r="BR75" i="41"/>
  <c r="BS75" i="41"/>
  <c r="BT75" i="41"/>
  <c r="BU75" i="41"/>
  <c r="BV75" i="41"/>
  <c r="BW75" i="41"/>
  <c r="BX75" i="41"/>
  <c r="BY75" i="41"/>
  <c r="BZ75" i="41"/>
  <c r="CA75" i="41"/>
  <c r="CB75" i="41"/>
  <c r="CC75" i="41"/>
  <c r="CD75" i="41"/>
  <c r="CE75" i="41"/>
  <c r="CF75" i="41"/>
  <c r="CG75" i="41"/>
  <c r="CH75" i="41"/>
  <c r="CI75" i="41"/>
  <c r="CJ75" i="41"/>
  <c r="CK75" i="41"/>
  <c r="CL75" i="41"/>
  <c r="CM75" i="41"/>
  <c r="CN75" i="41"/>
  <c r="CO75" i="41"/>
  <c r="CP75" i="41"/>
  <c r="CQ75" i="41"/>
  <c r="CR75" i="41"/>
  <c r="CS75" i="41"/>
  <c r="CT75" i="41"/>
  <c r="CU75" i="41"/>
  <c r="CV75" i="41"/>
  <c r="CW75" i="41"/>
  <c r="CX75" i="41"/>
  <c r="CY75" i="41"/>
  <c r="CZ75" i="41"/>
  <c r="DA75" i="41"/>
  <c r="DB75" i="41"/>
  <c r="DC75" i="41"/>
  <c r="DD75" i="41"/>
  <c r="DE75" i="41"/>
  <c r="DF75" i="41"/>
  <c r="DG75" i="41"/>
  <c r="DH75" i="41"/>
  <c r="DI75" i="41"/>
  <c r="DJ75" i="41"/>
  <c r="DK75" i="41"/>
  <c r="DL75" i="41"/>
  <c r="DM75" i="41"/>
  <c r="B76" i="41"/>
  <c r="C76" i="41"/>
  <c r="D76" i="41"/>
  <c r="E76" i="41"/>
  <c r="F76" i="41"/>
  <c r="G76" i="41"/>
  <c r="H76" i="41"/>
  <c r="I76" i="41"/>
  <c r="J76" i="41"/>
  <c r="K76" i="41"/>
  <c r="L76" i="41"/>
  <c r="M76" i="41"/>
  <c r="N76" i="41"/>
  <c r="O76" i="41"/>
  <c r="P76" i="41"/>
  <c r="Q76" i="41"/>
  <c r="R76" i="41"/>
  <c r="S76" i="41"/>
  <c r="T76" i="41"/>
  <c r="U76" i="41"/>
  <c r="V76" i="41"/>
  <c r="W76" i="41"/>
  <c r="X76" i="41"/>
  <c r="Y76" i="41"/>
  <c r="Z76" i="41"/>
  <c r="AA76" i="41"/>
  <c r="AB76" i="41"/>
  <c r="AC76" i="41"/>
  <c r="AD76" i="41"/>
  <c r="AE76" i="41"/>
  <c r="AF76" i="41"/>
  <c r="AG76" i="41"/>
  <c r="AH76" i="41"/>
  <c r="AI76" i="41"/>
  <c r="AJ76" i="41"/>
  <c r="AK76" i="41"/>
  <c r="AL76" i="41"/>
  <c r="AM76" i="41"/>
  <c r="AN76" i="41"/>
  <c r="AO76" i="41"/>
  <c r="AP76" i="41"/>
  <c r="AQ76" i="41"/>
  <c r="AR76" i="41"/>
  <c r="AS76" i="41"/>
  <c r="AT76" i="41"/>
  <c r="AU76" i="41"/>
  <c r="AV76" i="41"/>
  <c r="AW76" i="41"/>
  <c r="AX76" i="41"/>
  <c r="AY76" i="41"/>
  <c r="AZ76" i="41"/>
  <c r="BA76" i="41"/>
  <c r="BB76" i="41"/>
  <c r="BC76" i="41"/>
  <c r="BD76" i="41"/>
  <c r="BE76" i="41"/>
  <c r="BF76" i="41"/>
  <c r="BG76" i="41"/>
  <c r="BH76" i="41"/>
  <c r="BI76" i="41"/>
  <c r="BJ76" i="41"/>
  <c r="BK76" i="41"/>
  <c r="BL76" i="41"/>
  <c r="BM76" i="41"/>
  <c r="BN76" i="41"/>
  <c r="BO76" i="41"/>
  <c r="BP76" i="41"/>
  <c r="BQ76" i="41"/>
  <c r="BR76" i="41"/>
  <c r="BS76" i="41"/>
  <c r="BT76" i="41"/>
  <c r="BU76" i="41"/>
  <c r="BV76" i="41"/>
  <c r="BW76" i="41"/>
  <c r="BX76" i="41"/>
  <c r="BY76" i="41"/>
  <c r="BZ76" i="41"/>
  <c r="CA76" i="41"/>
  <c r="CB76" i="41"/>
  <c r="CC76" i="41"/>
  <c r="CD76" i="41"/>
  <c r="CE76" i="41"/>
  <c r="CF76" i="41"/>
  <c r="CG76" i="41"/>
  <c r="CH76" i="41"/>
  <c r="CI76" i="41"/>
  <c r="CJ76" i="41"/>
  <c r="CK76" i="41"/>
  <c r="CL76" i="41"/>
  <c r="CM76" i="41"/>
  <c r="CN76" i="41"/>
  <c r="CO76" i="41"/>
  <c r="CP76" i="41"/>
  <c r="CQ76" i="41"/>
  <c r="CR76" i="41"/>
  <c r="CS76" i="41"/>
  <c r="CT76" i="41"/>
  <c r="CU76" i="41"/>
  <c r="CV76" i="41"/>
  <c r="CW76" i="41"/>
  <c r="CX76" i="41"/>
  <c r="CY76" i="41"/>
  <c r="CZ76" i="41"/>
  <c r="DA76" i="41"/>
  <c r="DB76" i="41"/>
  <c r="DC76" i="41"/>
  <c r="DD76" i="41"/>
  <c r="DE76" i="41"/>
  <c r="DF76" i="41"/>
  <c r="DG76" i="41"/>
  <c r="DH76" i="41"/>
  <c r="DI76" i="41"/>
  <c r="DJ76" i="41"/>
  <c r="DK76" i="41"/>
  <c r="DL76" i="41"/>
  <c r="DN76" i="41"/>
  <c r="B77" i="41"/>
  <c r="C77" i="41"/>
  <c r="D77" i="41"/>
  <c r="E77" i="41"/>
  <c r="F77" i="41"/>
  <c r="G77" i="41"/>
  <c r="H77" i="41"/>
  <c r="I77" i="41"/>
  <c r="J77" i="41"/>
  <c r="K77" i="41"/>
  <c r="L77" i="41"/>
  <c r="M77" i="41"/>
  <c r="N77" i="41"/>
  <c r="O77" i="41"/>
  <c r="P77" i="41"/>
  <c r="Q77" i="41"/>
  <c r="R77" i="41"/>
  <c r="S77" i="41"/>
  <c r="T77" i="41"/>
  <c r="U77" i="41"/>
  <c r="V77" i="41"/>
  <c r="W77" i="41"/>
  <c r="X77" i="41"/>
  <c r="Y77" i="41"/>
  <c r="Z77" i="41"/>
  <c r="AA77" i="41"/>
  <c r="AB77" i="41"/>
  <c r="AC77" i="41"/>
  <c r="AD77" i="41"/>
  <c r="AE77" i="41"/>
  <c r="AF77" i="41"/>
  <c r="AG77" i="41"/>
  <c r="AH77" i="41"/>
  <c r="AI77" i="41"/>
  <c r="AJ77" i="41"/>
  <c r="AK77" i="41"/>
  <c r="AL77" i="41"/>
  <c r="AM77" i="41"/>
  <c r="AN77" i="41"/>
  <c r="AO77" i="41"/>
  <c r="AP77" i="41"/>
  <c r="AQ77" i="41"/>
  <c r="AR77" i="41"/>
  <c r="AS77" i="41"/>
  <c r="AT77" i="41"/>
  <c r="AU77" i="41"/>
  <c r="AV77" i="41"/>
  <c r="AW77" i="41"/>
  <c r="AX77" i="41"/>
  <c r="AY77" i="41"/>
  <c r="AZ77" i="41"/>
  <c r="BA77" i="41"/>
  <c r="BB77" i="41"/>
  <c r="BC77" i="41"/>
  <c r="BD77" i="41"/>
  <c r="BE77" i="41"/>
  <c r="BF77" i="41"/>
  <c r="BG77" i="41"/>
  <c r="BH77" i="41"/>
  <c r="BI77" i="41"/>
  <c r="BJ77" i="41"/>
  <c r="BK77" i="41"/>
  <c r="BL77" i="41"/>
  <c r="BM77" i="41"/>
  <c r="BN77" i="41"/>
  <c r="BO77" i="41"/>
  <c r="BP77" i="41"/>
  <c r="BQ77" i="41"/>
  <c r="BR77" i="41"/>
  <c r="BS77" i="41"/>
  <c r="BT77" i="41"/>
  <c r="BU77" i="41"/>
  <c r="BV77" i="41"/>
  <c r="BW77" i="41"/>
  <c r="BX77" i="41"/>
  <c r="BY77" i="41"/>
  <c r="BZ77" i="41"/>
  <c r="CA77" i="41"/>
  <c r="CB77" i="41"/>
  <c r="CC77" i="41"/>
  <c r="CD77" i="41"/>
  <c r="CE77" i="41"/>
  <c r="CF77" i="41"/>
  <c r="CG77" i="41"/>
  <c r="CH77" i="41"/>
  <c r="CI77" i="41"/>
  <c r="CJ77" i="41"/>
  <c r="CK77" i="41"/>
  <c r="CL77" i="41"/>
  <c r="CM77" i="41"/>
  <c r="CN77" i="41"/>
  <c r="CO77" i="41"/>
  <c r="CP77" i="41"/>
  <c r="CQ77" i="41"/>
  <c r="CR77" i="41"/>
  <c r="CS77" i="41"/>
  <c r="CT77" i="41"/>
  <c r="CU77" i="41"/>
  <c r="CV77" i="41"/>
  <c r="CW77" i="41"/>
  <c r="CX77" i="41"/>
  <c r="CY77" i="41"/>
  <c r="CZ77" i="41"/>
  <c r="DA77" i="41"/>
  <c r="DB77" i="41"/>
  <c r="DC77" i="41"/>
  <c r="DD77" i="41"/>
  <c r="DE77" i="41"/>
  <c r="DF77" i="41"/>
  <c r="DG77" i="41"/>
  <c r="DH77" i="41"/>
  <c r="DI77" i="41"/>
  <c r="DJ77" i="41"/>
  <c r="DK77" i="41"/>
  <c r="DL77" i="41"/>
  <c r="DP77" i="41"/>
  <c r="DQ77" i="41"/>
  <c r="B79" i="41"/>
  <c r="C79" i="41"/>
  <c r="D79" i="41"/>
  <c r="E79" i="41"/>
  <c r="F79" i="41"/>
  <c r="G79" i="41"/>
  <c r="H79" i="41"/>
  <c r="I79" i="41"/>
  <c r="J79" i="41"/>
  <c r="K79" i="41"/>
  <c r="L79" i="41"/>
  <c r="M79" i="41"/>
  <c r="N79" i="41"/>
  <c r="O79" i="41"/>
  <c r="P79" i="41"/>
  <c r="Q79" i="41"/>
  <c r="R79" i="41"/>
  <c r="S79" i="41"/>
  <c r="T79" i="41"/>
  <c r="U79" i="41"/>
  <c r="V79" i="41"/>
  <c r="W79" i="41"/>
  <c r="X79" i="41"/>
  <c r="Y79" i="41"/>
  <c r="Z79" i="41"/>
  <c r="AA79" i="41"/>
  <c r="AB79" i="41"/>
  <c r="AC79" i="41"/>
  <c r="AD79" i="41"/>
  <c r="AE79" i="41"/>
  <c r="AF79" i="41"/>
  <c r="AG79" i="41"/>
  <c r="AH79" i="41"/>
  <c r="AI79" i="41"/>
  <c r="AJ79" i="41"/>
  <c r="AK79" i="41"/>
  <c r="AL79" i="41"/>
  <c r="AM79" i="41"/>
  <c r="AN79" i="41"/>
  <c r="AO79" i="41"/>
  <c r="AP79" i="41"/>
  <c r="AQ79" i="41"/>
  <c r="AR79" i="41"/>
  <c r="AS79" i="41"/>
  <c r="AT79" i="41"/>
  <c r="AU79" i="41"/>
  <c r="AV79" i="41"/>
  <c r="AW79" i="41"/>
  <c r="AX79" i="41"/>
  <c r="AY79" i="41"/>
  <c r="AZ79" i="41"/>
  <c r="BA79" i="41"/>
  <c r="BB79" i="41"/>
  <c r="BC79" i="41"/>
  <c r="BD79" i="41"/>
  <c r="BE79" i="41"/>
  <c r="BF79" i="41"/>
  <c r="BG79" i="41"/>
  <c r="BH79" i="41"/>
  <c r="BI79" i="41"/>
  <c r="BJ79" i="41"/>
  <c r="BK79" i="41"/>
  <c r="BL79" i="41"/>
  <c r="BM79" i="41"/>
  <c r="BN79" i="41"/>
  <c r="BO79" i="41"/>
  <c r="BP79" i="41"/>
  <c r="BQ79" i="41"/>
  <c r="BR79" i="41"/>
  <c r="BS79" i="41"/>
  <c r="BT79" i="41"/>
  <c r="BU79" i="41"/>
  <c r="BV79" i="41"/>
  <c r="BW79" i="41"/>
  <c r="BX79" i="41"/>
  <c r="BY79" i="41"/>
  <c r="BZ79" i="41"/>
  <c r="CA79" i="41"/>
  <c r="CB79" i="41"/>
  <c r="CC79" i="41"/>
  <c r="CD79" i="41"/>
  <c r="CE79" i="41"/>
  <c r="CF79" i="41"/>
  <c r="CG79" i="41"/>
  <c r="CH79" i="41"/>
  <c r="CI79" i="41"/>
  <c r="CJ79" i="41"/>
  <c r="CK79" i="41"/>
  <c r="CL79" i="41"/>
  <c r="CM79" i="41"/>
  <c r="CN79" i="41"/>
  <c r="CO79" i="41"/>
  <c r="CP79" i="41"/>
  <c r="CQ79" i="41"/>
  <c r="CR79" i="41"/>
  <c r="CS79" i="41"/>
  <c r="CT79" i="41"/>
  <c r="CU79" i="41"/>
  <c r="CV79" i="41"/>
  <c r="CW79" i="41"/>
  <c r="CX79" i="41"/>
  <c r="CY79" i="41"/>
  <c r="CZ79" i="41"/>
  <c r="DA79" i="41"/>
  <c r="DB79" i="41"/>
  <c r="DC79" i="41"/>
  <c r="DD79" i="41"/>
  <c r="DE79" i="41"/>
  <c r="DF79" i="41"/>
  <c r="DG79" i="41"/>
  <c r="DH79" i="41"/>
  <c r="DI79" i="41"/>
  <c r="DJ79" i="41"/>
  <c r="DK79" i="41"/>
  <c r="DL79" i="41"/>
  <c r="DS70" i="41"/>
  <c r="DT70" i="41"/>
  <c r="DU70" i="41"/>
  <c r="DV70" i="41"/>
  <c r="DW70" i="41"/>
  <c r="DX70" i="41"/>
  <c r="DY70" i="41"/>
  <c r="DZ70" i="41"/>
  <c r="EA70" i="41"/>
  <c r="EB70" i="41"/>
  <c r="EC70" i="41"/>
  <c r="ED70" i="41"/>
  <c r="EE70" i="41"/>
  <c r="EF70" i="41"/>
  <c r="EG70" i="41"/>
  <c r="EH70" i="41"/>
  <c r="EK70" i="41"/>
  <c r="EL70" i="41"/>
  <c r="EM70" i="41"/>
  <c r="EN70" i="41"/>
  <c r="EO70" i="41"/>
  <c r="EP70" i="41"/>
  <c r="EQ70" i="41"/>
  <c r="ER70" i="41"/>
  <c r="ES70" i="41"/>
  <c r="ET70" i="41"/>
  <c r="EU70" i="41"/>
  <c r="EV70" i="41"/>
  <c r="EW70" i="41"/>
  <c r="EX70" i="41"/>
  <c r="DS71" i="41"/>
  <c r="DT71" i="41"/>
  <c r="DU71" i="41"/>
  <c r="DV71" i="41"/>
  <c r="DW71" i="41"/>
  <c r="DX71" i="41"/>
  <c r="DY71" i="41"/>
  <c r="DZ71" i="41"/>
  <c r="EA71" i="41"/>
  <c r="EB71" i="41"/>
  <c r="EC71" i="41"/>
  <c r="ED71" i="41"/>
  <c r="EE71" i="41"/>
  <c r="EF71" i="41"/>
  <c r="EG71" i="41"/>
  <c r="EH71" i="41"/>
  <c r="EK71" i="41"/>
  <c r="EL71" i="41"/>
  <c r="EM71" i="41"/>
  <c r="EN71" i="41"/>
  <c r="EO71" i="41"/>
  <c r="EP71" i="41"/>
  <c r="EQ71" i="41"/>
  <c r="ER71" i="41"/>
  <c r="ES71" i="41"/>
  <c r="ET71" i="41"/>
  <c r="EU71" i="41"/>
  <c r="EV71" i="41"/>
  <c r="EW71" i="41"/>
  <c r="EX71" i="41"/>
  <c r="EY71" i="41"/>
  <c r="EZ71" i="41"/>
  <c r="FA71" i="41"/>
  <c r="DU72" i="41"/>
  <c r="EY72" i="41"/>
  <c r="EZ72" i="41"/>
  <c r="FA72" i="41"/>
  <c r="DU73" i="41"/>
  <c r="DW73" i="41"/>
  <c r="EA73" i="41"/>
  <c r="ED73" i="41"/>
  <c r="EE73" i="41"/>
  <c r="EF73" i="41"/>
  <c r="EG73" i="41"/>
  <c r="EH73" i="41"/>
  <c r="EK73" i="41"/>
  <c r="EL73" i="41"/>
  <c r="EM73" i="41"/>
  <c r="EN73" i="41"/>
  <c r="EO73" i="41"/>
  <c r="EP73" i="41"/>
  <c r="EQ73" i="41"/>
  <c r="ER73" i="41"/>
  <c r="ES73" i="41"/>
  <c r="ET73" i="41"/>
  <c r="EU73" i="41"/>
  <c r="EV73" i="41"/>
  <c r="EW73" i="41"/>
  <c r="EX73" i="41"/>
  <c r="EY73" i="41"/>
  <c r="EZ73" i="41"/>
  <c r="FA73" i="41"/>
  <c r="EY74" i="41"/>
  <c r="EZ74" i="41"/>
  <c r="FA74" i="41"/>
  <c r="EY75" i="41"/>
  <c r="EZ75" i="41"/>
  <c r="FA75" i="41"/>
  <c r="EY76" i="41"/>
  <c r="EZ76" i="41"/>
  <c r="FA76" i="41"/>
  <c r="DV77" i="41"/>
  <c r="EA77" i="41"/>
  <c r="EE77" i="41"/>
  <c r="EF77" i="41"/>
  <c r="EY77" i="41"/>
  <c r="EZ77" i="41"/>
  <c r="FA77" i="41"/>
  <c r="DR71" i="41"/>
  <c r="DR72" i="41"/>
  <c r="DR77" i="41"/>
  <c r="DR70" i="41"/>
  <c r="K29" i="71"/>
  <c r="J29" i="71"/>
  <c r="K18" i="71"/>
  <c r="J18" i="71"/>
  <c r="L8" i="71"/>
  <c r="L7" i="71"/>
  <c r="L6" i="71"/>
  <c r="L5" i="71"/>
  <c r="EK77" i="41"/>
  <c r="EK76" i="41"/>
  <c r="EK75" i="41"/>
  <c r="EK74" i="41"/>
  <c r="EK72" i="41"/>
  <c r="EL77" i="41"/>
  <c r="EL76" i="41"/>
  <c r="EL75" i="41"/>
  <c r="EL74" i="41"/>
  <c r="EL72" i="41"/>
  <c r="L38" i="62"/>
  <c r="E3" i="41"/>
  <c r="EY70" i="41" s="1"/>
  <c r="EK79" i="41"/>
  <c r="EL79" i="41"/>
  <c r="M5" i="60"/>
  <c r="L5" i="60" s="1"/>
  <c r="M31" i="59"/>
  <c r="N31" i="59" s="1"/>
  <c r="M31" i="58"/>
  <c r="N31" i="58" s="1"/>
  <c r="L20" i="58"/>
  <c r="L21" i="58"/>
  <c r="L22" i="58"/>
  <c r="L23" i="58"/>
  <c r="L24" i="58"/>
  <c r="L25" i="58"/>
  <c r="L26" i="58"/>
  <c r="L27" i="58"/>
  <c r="L15" i="58"/>
  <c r="L16" i="58"/>
  <c r="L17" i="58"/>
  <c r="L14" i="58"/>
  <c r="H49" i="48"/>
  <c r="L8" i="57"/>
  <c r="L7" i="57"/>
  <c r="L6" i="57"/>
  <c r="L5" i="57"/>
  <c r="L27" i="57"/>
  <c r="L26" i="57"/>
  <c r="L25" i="57"/>
  <c r="L24" i="57"/>
  <c r="L23" i="57"/>
  <c r="L22" i="57"/>
  <c r="L21" i="57"/>
  <c r="L20" i="57"/>
  <c r="L17" i="57"/>
  <c r="L14" i="57"/>
  <c r="L15" i="57"/>
  <c r="L16" i="57"/>
  <c r="L27" i="61"/>
  <c r="L26" i="61"/>
  <c r="L25" i="61"/>
  <c r="L24" i="61"/>
  <c r="L23" i="61"/>
  <c r="L22" i="61"/>
  <c r="L21" i="61"/>
  <c r="L20" i="61"/>
  <c r="L27" i="60"/>
  <c r="L26" i="60"/>
  <c r="L25" i="60"/>
  <c r="L24" i="60"/>
  <c r="L23" i="60"/>
  <c r="L22" i="60"/>
  <c r="L21" i="60"/>
  <c r="L20" i="60"/>
  <c r="L28" i="59"/>
  <c r="M28" i="59" s="1"/>
  <c r="L17" i="61"/>
  <c r="L16" i="61"/>
  <c r="L15" i="61"/>
  <c r="L14" i="61"/>
  <c r="L17" i="60"/>
  <c r="L16" i="60"/>
  <c r="L15" i="60"/>
  <c r="L14" i="60"/>
  <c r="L18" i="59"/>
  <c r="M18" i="59" s="1"/>
  <c r="L8" i="61"/>
  <c r="L7" i="61"/>
  <c r="L6" i="61"/>
  <c r="L5" i="61"/>
  <c r="L8" i="60"/>
  <c r="L7" i="60"/>
  <c r="L6" i="60"/>
  <c r="L8" i="59"/>
  <c r="L7" i="59"/>
  <c r="L6" i="59"/>
  <c r="L5" i="59"/>
  <c r="L8" i="58"/>
  <c r="L7" i="58"/>
  <c r="L6" i="58"/>
  <c r="L5" i="58"/>
  <c r="K32" i="62"/>
  <c r="J32" i="62"/>
  <c r="K19" i="62"/>
  <c r="J19" i="62"/>
  <c r="K28" i="61"/>
  <c r="J28" i="61"/>
  <c r="K18" i="61"/>
  <c r="J18" i="61"/>
  <c r="K28" i="60"/>
  <c r="J28" i="60"/>
  <c r="K18" i="60"/>
  <c r="J18" i="60"/>
  <c r="K28" i="59"/>
  <c r="J28" i="59"/>
  <c r="K18" i="59"/>
  <c r="J18" i="59"/>
  <c r="K28" i="58"/>
  <c r="J28" i="58"/>
  <c r="K18" i="58"/>
  <c r="J18" i="58"/>
  <c r="N31" i="57"/>
  <c r="K28" i="57"/>
  <c r="J28" i="57"/>
  <c r="K18" i="57"/>
  <c r="J18" i="57"/>
  <c r="EP78" i="41"/>
  <c r="EQ78" i="41"/>
  <c r="M31" i="50"/>
  <c r="N31" i="50" s="1"/>
  <c r="H51" i="50" s="1"/>
  <c r="L8" i="49"/>
  <c r="L7" i="49"/>
  <c r="L6" i="49"/>
  <c r="L5" i="49"/>
  <c r="L8" i="50"/>
  <c r="L7" i="50"/>
  <c r="L6" i="50"/>
  <c r="L5" i="50"/>
  <c r="K6" i="50"/>
  <c r="N18" i="50"/>
  <c r="H50" i="50" s="1"/>
  <c r="L18" i="50"/>
  <c r="M31" i="49"/>
  <c r="N31" i="49" s="1"/>
  <c r="H51" i="49" s="1"/>
  <c r="J18" i="49"/>
  <c r="K18" i="49"/>
  <c r="L18" i="49"/>
  <c r="J28" i="49"/>
  <c r="K28" i="49"/>
  <c r="L28" i="49"/>
  <c r="N9" i="49"/>
  <c r="N18" i="48"/>
  <c r="H50" i="48" s="1"/>
  <c r="L6" i="48"/>
  <c r="L7" i="48"/>
  <c r="L8" i="48"/>
  <c r="L5" i="48"/>
  <c r="M31" i="48"/>
  <c r="N31" i="48" s="1"/>
  <c r="H51" i="48" s="1"/>
  <c r="M31" i="46"/>
  <c r="N31" i="46" s="1"/>
  <c r="H51" i="46" s="1"/>
  <c r="M31" i="47"/>
  <c r="N31" i="47" s="1"/>
  <c r="H51" i="47" s="1"/>
  <c r="L8" i="47"/>
  <c r="L7" i="47"/>
  <c r="L6" i="47"/>
  <c r="L5" i="47"/>
  <c r="L8" i="46"/>
  <c r="L7" i="46"/>
  <c r="L6" i="46"/>
  <c r="L5" i="46"/>
  <c r="C36" i="56"/>
  <c r="E36" i="56" s="1"/>
  <c r="C33" i="56"/>
  <c r="E33" i="56" s="1"/>
  <c r="H35" i="56" s="1"/>
  <c r="C35" i="56"/>
  <c r="E35" i="56" s="1"/>
  <c r="C31" i="56"/>
  <c r="E31" i="56" s="1"/>
  <c r="C30" i="56"/>
  <c r="E30" i="56" s="1"/>
  <c r="F30" i="56" s="1"/>
  <c r="C29" i="56"/>
  <c r="E29" i="56" s="1"/>
  <c r="ET78" i="41"/>
  <c r="C26" i="41"/>
  <c r="L27" i="55"/>
  <c r="L26" i="55"/>
  <c r="L25" i="55"/>
  <c r="L24" i="55"/>
  <c r="L23" i="55"/>
  <c r="L22" i="55"/>
  <c r="L21" i="55"/>
  <c r="L20" i="55"/>
  <c r="L17" i="55"/>
  <c r="L16" i="55"/>
  <c r="L15" i="55"/>
  <c r="L14" i="55"/>
  <c r="L8" i="55"/>
  <c r="L7" i="55"/>
  <c r="L6" i="55"/>
  <c r="L5" i="55"/>
  <c r="D52" i="55"/>
  <c r="C52" i="55"/>
  <c r="E51" i="55"/>
  <c r="E50" i="55"/>
  <c r="H49" i="55"/>
  <c r="E49" i="55"/>
  <c r="H48" i="55"/>
  <c r="E48" i="55"/>
  <c r="H47" i="55"/>
  <c r="E47" i="55"/>
  <c r="E46" i="55"/>
  <c r="E45" i="55"/>
  <c r="H51" i="55"/>
  <c r="K28" i="55"/>
  <c r="J28" i="55"/>
  <c r="H45" i="55"/>
  <c r="K18" i="55"/>
  <c r="J18" i="55"/>
  <c r="H50" i="55"/>
  <c r="D52" i="52"/>
  <c r="C52" i="52"/>
  <c r="E51" i="52"/>
  <c r="E50" i="52"/>
  <c r="H49" i="52"/>
  <c r="E49" i="52"/>
  <c r="H48" i="52"/>
  <c r="E48" i="52"/>
  <c r="H47" i="52"/>
  <c r="E47" i="52"/>
  <c r="E46" i="52"/>
  <c r="E45" i="52"/>
  <c r="N31" i="52"/>
  <c r="H51" i="52" s="1"/>
  <c r="K28" i="52"/>
  <c r="J28" i="52"/>
  <c r="L27" i="52"/>
  <c r="L26" i="52"/>
  <c r="L25" i="52"/>
  <c r="L24" i="52"/>
  <c r="L23" i="52"/>
  <c r="L22" i="52"/>
  <c r="L21" i="52"/>
  <c r="L20" i="52"/>
  <c r="K18" i="52"/>
  <c r="J18" i="52"/>
  <c r="L16" i="52"/>
  <c r="L15" i="52"/>
  <c r="L14" i="52"/>
  <c r="L8" i="52"/>
  <c r="L7" i="52"/>
  <c r="L6" i="52"/>
  <c r="L5" i="52"/>
  <c r="D52" i="50"/>
  <c r="C52" i="50"/>
  <c r="E51" i="50"/>
  <c r="E50" i="50"/>
  <c r="H49" i="50"/>
  <c r="E49" i="50"/>
  <c r="H48" i="50"/>
  <c r="E48" i="50"/>
  <c r="H47" i="50"/>
  <c r="E47" i="50"/>
  <c r="E46" i="50"/>
  <c r="E45" i="50"/>
  <c r="K28" i="50"/>
  <c r="J28" i="50"/>
  <c r="L28" i="50"/>
  <c r="M28" i="50" s="1"/>
  <c r="K18" i="50"/>
  <c r="J18" i="50"/>
  <c r="D52" i="49"/>
  <c r="C52" i="49"/>
  <c r="E51" i="49"/>
  <c r="E50" i="49"/>
  <c r="H49" i="49"/>
  <c r="E49" i="49"/>
  <c r="H48" i="49"/>
  <c r="E48" i="49"/>
  <c r="H47" i="49"/>
  <c r="E47" i="49"/>
  <c r="E46" i="49"/>
  <c r="E45" i="49"/>
  <c r="D52" i="48"/>
  <c r="C52" i="48"/>
  <c r="E51" i="48"/>
  <c r="E50" i="48"/>
  <c r="E49" i="48"/>
  <c r="H48" i="48"/>
  <c r="E48" i="48"/>
  <c r="H47" i="48"/>
  <c r="E47" i="48"/>
  <c r="E46" i="48"/>
  <c r="E45" i="48"/>
  <c r="K28" i="48"/>
  <c r="J28" i="48"/>
  <c r="K18" i="48"/>
  <c r="J18" i="48"/>
  <c r="D52" i="47"/>
  <c r="C52" i="47"/>
  <c r="E51" i="47"/>
  <c r="E50" i="47"/>
  <c r="H49" i="47"/>
  <c r="E49" i="47"/>
  <c r="H48" i="47"/>
  <c r="E48" i="47"/>
  <c r="H47" i="47"/>
  <c r="E47" i="47"/>
  <c r="E46" i="47"/>
  <c r="E45" i="47"/>
  <c r="K28" i="47"/>
  <c r="J28" i="47"/>
  <c r="K18" i="47"/>
  <c r="J18" i="47"/>
  <c r="L18" i="47"/>
  <c r="L28" i="47"/>
  <c r="L28" i="48"/>
  <c r="M28" i="48" s="1"/>
  <c r="H45" i="49"/>
  <c r="H45" i="50"/>
  <c r="H50" i="47"/>
  <c r="L18" i="48"/>
  <c r="H50" i="49"/>
  <c r="H45" i="48"/>
  <c r="H45" i="47"/>
  <c r="H49" i="46"/>
  <c r="H48" i="46"/>
  <c r="H47" i="46"/>
  <c r="D52" i="46"/>
  <c r="C52" i="46"/>
  <c r="E51" i="46"/>
  <c r="E50" i="46"/>
  <c r="E49" i="46"/>
  <c r="E48" i="46"/>
  <c r="E47" i="46"/>
  <c r="E46" i="46"/>
  <c r="E45" i="46"/>
  <c r="E26" i="41"/>
  <c r="D26" i="41"/>
  <c r="K28" i="46"/>
  <c r="J28" i="46"/>
  <c r="K18" i="46"/>
  <c r="J18" i="46"/>
  <c r="L18" i="46"/>
  <c r="C153" i="45"/>
  <c r="C151" i="45"/>
  <c r="C150" i="45"/>
  <c r="H50" i="46"/>
  <c r="L28" i="46"/>
  <c r="N28" i="46" s="1"/>
  <c r="H45" i="46" s="1"/>
  <c r="T10" i="42"/>
  <c r="T11" i="42"/>
  <c r="T12" i="42"/>
  <c r="T13" i="42"/>
  <c r="T9" i="42"/>
  <c r="S14" i="42"/>
  <c r="R14" i="19"/>
  <c r="S14" i="19"/>
  <c r="V14" i="19"/>
  <c r="V26" i="19" s="1"/>
  <c r="T24" i="19"/>
  <c r="T23" i="19"/>
  <c r="T21" i="19"/>
  <c r="T22" i="19"/>
  <c r="T19" i="19"/>
  <c r="T20" i="19"/>
  <c r="T17" i="19"/>
  <c r="T15" i="19"/>
  <c r="T16" i="19"/>
  <c r="T18" i="19"/>
  <c r="T11" i="19"/>
  <c r="T9" i="19"/>
  <c r="T10" i="19"/>
  <c r="T12" i="19"/>
  <c r="L8" i="19"/>
  <c r="M8" i="19"/>
  <c r="M26" i="19"/>
  <c r="N8" i="19"/>
  <c r="O8" i="19"/>
  <c r="O26" i="19" s="1"/>
  <c r="S25" i="19"/>
  <c r="R25" i="19"/>
  <c r="S25" i="42"/>
  <c r="R25" i="42"/>
  <c r="T24" i="42"/>
  <c r="T23" i="42"/>
  <c r="T22" i="42"/>
  <c r="T21" i="42"/>
  <c r="T20" i="42"/>
  <c r="T19" i="42"/>
  <c r="T18" i="42"/>
  <c r="T17" i="42"/>
  <c r="T16" i="42"/>
  <c r="T15" i="42"/>
  <c r="V26" i="42"/>
  <c r="R14" i="42"/>
  <c r="P8" i="42"/>
  <c r="P26" i="42" s="1"/>
  <c r="O8" i="42"/>
  <c r="O26" i="42" s="1"/>
  <c r="M8" i="42"/>
  <c r="M26" i="42" s="1"/>
  <c r="L8" i="42"/>
  <c r="N7" i="42"/>
  <c r="N6" i="42"/>
  <c r="N5" i="42"/>
  <c r="N4" i="42"/>
  <c r="N5" i="40"/>
  <c r="N6" i="40"/>
  <c r="N7" i="40"/>
  <c r="N4" i="40"/>
  <c r="R14" i="40"/>
  <c r="T14" i="40" s="1"/>
  <c r="U14" i="40" s="1"/>
  <c r="V26" i="40"/>
  <c r="R25" i="40"/>
  <c r="S25" i="40"/>
  <c r="P8" i="40"/>
  <c r="P26" i="40" s="1"/>
  <c r="O8" i="40"/>
  <c r="O26" i="40" s="1"/>
  <c r="M8" i="40"/>
  <c r="M26" i="40" s="1"/>
  <c r="L8" i="40"/>
  <c r="T24" i="40"/>
  <c r="EU78" i="41"/>
  <c r="ES78" i="41"/>
  <c r="ER78" i="41"/>
  <c r="S14" i="40"/>
  <c r="T15" i="40"/>
  <c r="T16" i="40"/>
  <c r="T17" i="40"/>
  <c r="T18" i="40"/>
  <c r="T19" i="40"/>
  <c r="T20" i="40"/>
  <c r="T21" i="40"/>
  <c r="T22" i="40"/>
  <c r="T23" i="40"/>
  <c r="T9" i="40"/>
  <c r="E12" i="41"/>
  <c r="EY79" i="41" s="1"/>
  <c r="E62" i="18"/>
  <c r="E61" i="18"/>
  <c r="E60" i="18"/>
  <c r="E59" i="18"/>
  <c r="D15" i="18"/>
  <c r="G15" i="18" s="1"/>
  <c r="E58" i="18"/>
  <c r="E36" i="18"/>
  <c r="E37" i="18"/>
  <c r="E38" i="18"/>
  <c r="E39" i="18"/>
  <c r="D18" i="18"/>
  <c r="G18" i="18" s="1"/>
  <c r="E35" i="18"/>
  <c r="D12" i="41"/>
  <c r="EZ79" i="41" s="1"/>
  <c r="P7" i="19"/>
  <c r="P6" i="19"/>
  <c r="P5" i="19"/>
  <c r="P4" i="19"/>
  <c r="D66" i="18"/>
  <c r="G66" i="18"/>
  <c r="B66" i="18"/>
  <c r="D65" i="18"/>
  <c r="G65" i="18" s="1"/>
  <c r="B65" i="18"/>
  <c r="D64" i="18"/>
  <c r="G64" i="18" s="1"/>
  <c r="B64" i="18"/>
  <c r="D63" i="18"/>
  <c r="B63" i="18"/>
  <c r="B62" i="18"/>
  <c r="B61" i="18"/>
  <c r="B60" i="18"/>
  <c r="B59" i="18"/>
  <c r="B58" i="18"/>
  <c r="E57" i="18"/>
  <c r="K57" i="18"/>
  <c r="B57" i="18"/>
  <c r="D43" i="18"/>
  <c r="G43" i="18" s="1"/>
  <c r="B43" i="18"/>
  <c r="D42" i="18"/>
  <c r="G42" i="18" s="1"/>
  <c r="B42" i="18"/>
  <c r="D41" i="18"/>
  <c r="G41" i="18" s="1"/>
  <c r="B41" i="18"/>
  <c r="D40" i="18"/>
  <c r="B40" i="18"/>
  <c r="B39" i="18"/>
  <c r="B38" i="18"/>
  <c r="B37" i="18"/>
  <c r="B36" i="18"/>
  <c r="B35" i="18"/>
  <c r="E34" i="18"/>
  <c r="K34" i="18" s="1"/>
  <c r="B34" i="18"/>
  <c r="H22" i="18"/>
  <c r="G22" i="18"/>
  <c r="C22" i="18"/>
  <c r="H21" i="18"/>
  <c r="H42" i="18" s="1"/>
  <c r="I42" i="18" s="1"/>
  <c r="J42" i="18" s="1"/>
  <c r="G21" i="18"/>
  <c r="C21" i="18"/>
  <c r="C42" i="18" s="1"/>
  <c r="F42" i="18" s="1"/>
  <c r="H20" i="18"/>
  <c r="H41" i="18" s="1"/>
  <c r="G20" i="18"/>
  <c r="C20" i="18"/>
  <c r="C41" i="18" s="1"/>
  <c r="F41" i="18" s="1"/>
  <c r="H19" i="18"/>
  <c r="G19" i="18"/>
  <c r="C19" i="18"/>
  <c r="C18" i="18"/>
  <c r="F18" i="18" s="1"/>
  <c r="D17" i="18"/>
  <c r="D61" i="18" s="1"/>
  <c r="C17" i="18"/>
  <c r="F17" i="18" s="1"/>
  <c r="D16" i="18"/>
  <c r="D37" i="18" s="1"/>
  <c r="C16" i="18"/>
  <c r="C15" i="18"/>
  <c r="C36" i="18" s="1"/>
  <c r="D14" i="18"/>
  <c r="D58" i="18" s="1"/>
  <c r="C14" i="18"/>
  <c r="K13" i="18"/>
  <c r="K14" i="18" s="1"/>
  <c r="K15" i="18" s="1"/>
  <c r="K16" i="18" s="1"/>
  <c r="K17" i="18" s="1"/>
  <c r="K18" i="18" s="1"/>
  <c r="K19" i="18" s="1"/>
  <c r="K20" i="18" s="1"/>
  <c r="K21" i="18" s="1"/>
  <c r="K22" i="18" s="1"/>
  <c r="D13" i="18"/>
  <c r="C13" i="18"/>
  <c r="C34" i="18" s="1"/>
  <c r="C57" i="18"/>
  <c r="F57" i="18" s="1"/>
  <c r="A13" i="18"/>
  <c r="C12" i="41"/>
  <c r="FA79" i="41" s="1"/>
  <c r="AD7" i="41"/>
  <c r="DZ74" i="41" s="1"/>
  <c r="L7" i="88"/>
  <c r="AN7" i="41"/>
  <c r="DP74" i="41" s="1"/>
  <c r="L6" i="74"/>
  <c r="L5" i="65"/>
  <c r="L6" i="78"/>
  <c r="L8" i="83"/>
  <c r="L6" i="73"/>
  <c r="L8" i="86"/>
  <c r="AL8" i="41"/>
  <c r="DR75" i="41" s="1"/>
  <c r="L7" i="90"/>
  <c r="ED72" i="41"/>
  <c r="AB8" i="41"/>
  <c r="EB75" i="41" s="1"/>
  <c r="N37" i="68"/>
  <c r="N38" i="68" s="1"/>
  <c r="X11" i="41" s="1"/>
  <c r="EF78" i="41" s="1"/>
  <c r="M38" i="68"/>
  <c r="Z7" i="41"/>
  <c r="ED74" i="41" s="1"/>
  <c r="Z9" i="41"/>
  <c r="ED76" i="41" s="1"/>
  <c r="N37" i="67"/>
  <c r="N38" i="67" s="1"/>
  <c r="W11" i="41" s="1"/>
  <c r="EG78" i="41" s="1"/>
  <c r="M38" i="67"/>
  <c r="AF8" i="41"/>
  <c r="DX75" i="41" s="1"/>
  <c r="AO12" i="41"/>
  <c r="DO79" i="41" s="1"/>
  <c r="DO72" i="41"/>
  <c r="EJ74" i="41"/>
  <c r="AM8" i="41"/>
  <c r="DQ75" i="41" s="1"/>
  <c r="L5" i="79"/>
  <c r="AL7" i="41"/>
  <c r="V9" i="41"/>
  <c r="EH76" i="41" s="1"/>
  <c r="L5" i="66"/>
  <c r="J8" i="77"/>
  <c r="J11" i="77" s="1"/>
  <c r="AM9" i="41"/>
  <c r="L8" i="68"/>
  <c r="L6" i="88"/>
  <c r="L5" i="87"/>
  <c r="T14" i="42"/>
  <c r="U14" i="42" s="1"/>
  <c r="AB7" i="41"/>
  <c r="EB74" i="41" s="1"/>
  <c r="L5" i="82"/>
  <c r="A34" i="18"/>
  <c r="L6" i="86"/>
  <c r="H33" i="56"/>
  <c r="C38" i="18"/>
  <c r="F36" i="56"/>
  <c r="M18" i="48"/>
  <c r="L7" i="68"/>
  <c r="L7" i="79"/>
  <c r="U9" i="41"/>
  <c r="EI76" i="41" s="1"/>
  <c r="P5" i="41"/>
  <c r="M8" i="41"/>
  <c r="P8" i="41"/>
  <c r="Q11" i="41"/>
  <c r="I5" i="41"/>
  <c r="J5" i="41"/>
  <c r="K8" i="41"/>
  <c r="L8" i="41"/>
  <c r="G11" i="41"/>
  <c r="O11" i="41"/>
  <c r="J10" i="41"/>
  <c r="J9" i="41"/>
  <c r="Q8" i="41"/>
  <c r="M7" i="41"/>
  <c r="M5" i="41"/>
  <c r="I7" i="41"/>
  <c r="N9" i="41"/>
  <c r="N7" i="41"/>
  <c r="H9" i="41"/>
  <c r="M9" i="41"/>
  <c r="I9" i="41"/>
  <c r="N5" i="41"/>
  <c r="I8" i="41"/>
  <c r="P10" i="41"/>
  <c r="O8" i="41"/>
  <c r="H11" i="41"/>
  <c r="L9" i="41"/>
  <c r="G8" i="41"/>
  <c r="M10" i="41"/>
  <c r="P9" i="41"/>
  <c r="K5" i="41"/>
  <c r="J8" i="41"/>
  <c r="F11" i="41"/>
  <c r="F8" i="41"/>
  <c r="K7" i="41"/>
  <c r="Q7" i="41"/>
  <c r="P7" i="41"/>
  <c r="O9" i="41"/>
  <c r="H5" i="41"/>
  <c r="L5" i="41"/>
  <c r="H8" i="41"/>
  <c r="K9" i="41"/>
  <c r="J7" i="41"/>
  <c r="L10" i="41"/>
  <c r="L7" i="41"/>
  <c r="Q9" i="41"/>
  <c r="N10" i="41"/>
  <c r="F9" i="41"/>
  <c r="P11" i="41"/>
  <c r="N8" i="41"/>
  <c r="G9" i="41"/>
  <c r="K10" i="41"/>
  <c r="O10" i="41"/>
  <c r="H7" i="41"/>
  <c r="O7" i="41"/>
  <c r="O5" i="41"/>
  <c r="F10" i="41"/>
  <c r="G7" i="41"/>
  <c r="H10" i="41"/>
  <c r="F5" i="41"/>
  <c r="Q10" i="41"/>
  <c r="I10" i="41"/>
  <c r="F7" i="41"/>
  <c r="Q5" i="41"/>
  <c r="B187" i="95" l="1"/>
  <c r="N34" i="66"/>
  <c r="N35" i="66" s="1"/>
  <c r="V11" i="41" s="1"/>
  <c r="EH78" i="41" s="1"/>
  <c r="M25" i="69"/>
  <c r="M33" i="69" s="1"/>
  <c r="I11" i="77"/>
  <c r="I29" i="77"/>
  <c r="L5" i="80"/>
  <c r="G17" i="18"/>
  <c r="K35" i="18"/>
  <c r="K36" i="18" s="1"/>
  <c r="K37" i="18" s="1"/>
  <c r="K38" i="18" s="1"/>
  <c r="K39" i="18" s="1"/>
  <c r="K40" i="18" s="1"/>
  <c r="K41" i="18" s="1"/>
  <c r="K42" i="18" s="1"/>
  <c r="K43" i="18" s="1"/>
  <c r="L6" i="69"/>
  <c r="L6" i="81"/>
  <c r="L5" i="84"/>
  <c r="L18" i="57"/>
  <c r="M18" i="57" s="1"/>
  <c r="CT55" i="45"/>
  <c r="CT56" i="45" s="1"/>
  <c r="CT57" i="45" s="1"/>
  <c r="CT58" i="45" s="1"/>
  <c r="CT59" i="45" s="1"/>
  <c r="CT60" i="45" s="1"/>
  <c r="L8" i="87"/>
  <c r="H52" i="46"/>
  <c r="H52" i="47"/>
  <c r="L6" i="65"/>
  <c r="AL9" i="41"/>
  <c r="DR76" i="41" s="1"/>
  <c r="AN8" i="41"/>
  <c r="DP75" i="41" s="1"/>
  <c r="H64" i="18"/>
  <c r="E52" i="49"/>
  <c r="F47" i="49" s="1"/>
  <c r="L18" i="60"/>
  <c r="M18" i="60" s="1"/>
  <c r="L28" i="57"/>
  <c r="M28" i="57" s="1"/>
  <c r="L7" i="64"/>
  <c r="K33" i="69"/>
  <c r="Y9" i="41"/>
  <c r="EE76" i="41" s="1"/>
  <c r="L8" i="72"/>
  <c r="L6" i="84"/>
  <c r="L5" i="78"/>
  <c r="L18" i="58"/>
  <c r="M18" i="58" s="1"/>
  <c r="K33" i="77"/>
  <c r="T25" i="19"/>
  <c r="U25" i="19" s="1"/>
  <c r="G14" i="18"/>
  <c r="I15" i="18"/>
  <c r="J15" i="18" s="1"/>
  <c r="L15" i="18" s="1"/>
  <c r="F21" i="18"/>
  <c r="C65" i="18"/>
  <c r="F65" i="18" s="1"/>
  <c r="T25" i="40"/>
  <c r="T26" i="40" s="1"/>
  <c r="L8" i="75"/>
  <c r="AC8" i="41"/>
  <c r="EA75" i="41" s="1"/>
  <c r="L8" i="80"/>
  <c r="L5" i="83"/>
  <c r="L8" i="84"/>
  <c r="L7" i="86"/>
  <c r="H15" i="18"/>
  <c r="D36" i="18"/>
  <c r="G36" i="18" s="1"/>
  <c r="D39" i="18"/>
  <c r="G39" i="18" s="1"/>
  <c r="A14" i="18"/>
  <c r="A35" i="18" s="1"/>
  <c r="A57" i="18"/>
  <c r="F36" i="18"/>
  <c r="L7" i="69"/>
  <c r="Y7" i="41"/>
  <c r="C61" i="18"/>
  <c r="F61" i="18" s="1"/>
  <c r="D60" i="18"/>
  <c r="G60" i="18" s="1"/>
  <c r="D62" i="18"/>
  <c r="I41" i="18"/>
  <c r="J41" i="18" s="1"/>
  <c r="D59" i="18"/>
  <c r="F31" i="56"/>
  <c r="L29" i="71"/>
  <c r="L19" i="62"/>
  <c r="M19" i="62" s="1"/>
  <c r="L32" i="62"/>
  <c r="M32" i="62" s="1"/>
  <c r="L154" i="45"/>
  <c r="K154" i="45"/>
  <c r="X9" i="41"/>
  <c r="EF76" i="41" s="1"/>
  <c r="L5" i="68"/>
  <c r="L6" i="66"/>
  <c r="L8" i="73"/>
  <c r="J19" i="77"/>
  <c r="J29" i="77"/>
  <c r="L8" i="78"/>
  <c r="L7" i="81"/>
  <c r="L8" i="82"/>
  <c r="L7" i="85"/>
  <c r="L5" i="85"/>
  <c r="H52" i="55"/>
  <c r="L18" i="55"/>
  <c r="M18" i="55" s="1"/>
  <c r="L6" i="64"/>
  <c r="L5" i="73"/>
  <c r="L7" i="74"/>
  <c r="L7" i="78"/>
  <c r="L6" i="80"/>
  <c r="L6" i="87"/>
  <c r="L6" i="90"/>
  <c r="K58" i="18"/>
  <c r="K59" i="18" s="1"/>
  <c r="K60" i="18" s="1"/>
  <c r="K61" i="18" s="1"/>
  <c r="K62" i="18" s="1"/>
  <c r="K63" i="18" s="1"/>
  <c r="K64" i="18" s="1"/>
  <c r="K65" i="18" s="1"/>
  <c r="K66" i="18" s="1"/>
  <c r="G59" i="18"/>
  <c r="I35" i="56"/>
  <c r="J35" i="56"/>
  <c r="D34" i="18"/>
  <c r="H13" i="18"/>
  <c r="I13" i="18" s="1"/>
  <c r="C60" i="18"/>
  <c r="F60" i="18" s="1"/>
  <c r="C37" i="18"/>
  <c r="F37" i="18" s="1"/>
  <c r="I22" i="18"/>
  <c r="H43" i="18"/>
  <c r="I43" i="18" s="1"/>
  <c r="J43" i="18" s="1"/>
  <c r="F49" i="49"/>
  <c r="D35" i="18"/>
  <c r="G35" i="18" s="1"/>
  <c r="I20" i="18"/>
  <c r="J20" i="18" s="1"/>
  <c r="L20" i="18" s="1"/>
  <c r="F29" i="56"/>
  <c r="H36" i="56"/>
  <c r="Z12" i="41"/>
  <c r="ED79" i="41" s="1"/>
  <c r="E52" i="46"/>
  <c r="F46" i="46" s="1"/>
  <c r="D3" i="41"/>
  <c r="L8" i="64"/>
  <c r="T8" i="41"/>
  <c r="I19" i="77"/>
  <c r="I24" i="77"/>
  <c r="I32" i="77" s="1"/>
  <c r="L7" i="80"/>
  <c r="AF7" i="41"/>
  <c r="AF12" i="41" s="1"/>
  <c r="DX79" i="41" s="1"/>
  <c r="AH9" i="41"/>
  <c r="DV76" i="41" s="1"/>
  <c r="AJ7" i="41"/>
  <c r="L7" i="84"/>
  <c r="F50" i="49"/>
  <c r="G29" i="56"/>
  <c r="L5" i="86"/>
  <c r="AJ9" i="41"/>
  <c r="DT76" i="41" s="1"/>
  <c r="AA9" i="41"/>
  <c r="EC76" i="41" s="1"/>
  <c r="L5" i="69"/>
  <c r="H65" i="18"/>
  <c r="I65" i="18" s="1"/>
  <c r="J65" i="18" s="1"/>
  <c r="L7" i="87"/>
  <c r="F16" i="18"/>
  <c r="F38" i="18"/>
  <c r="T14" i="19"/>
  <c r="T26" i="19" s="1"/>
  <c r="J154" i="45"/>
  <c r="F26" i="41"/>
  <c r="L8" i="69"/>
  <c r="U7" i="41"/>
  <c r="L7" i="65"/>
  <c r="K6" i="77"/>
  <c r="K8" i="77" s="1"/>
  <c r="K11" i="77" s="1"/>
  <c r="L8" i="77"/>
  <c r="L11" i="77" s="1"/>
  <c r="AG8" i="41"/>
  <c r="DW75" i="41" s="1"/>
  <c r="L8" i="81"/>
  <c r="L6" i="82"/>
  <c r="F35" i="56"/>
  <c r="AK12" i="41"/>
  <c r="DS79" i="41" s="1"/>
  <c r="L6" i="67"/>
  <c r="W9" i="41"/>
  <c r="EG76" i="41" s="1"/>
  <c r="H14" i="18"/>
  <c r="I14" i="18" s="1"/>
  <c r="J14" i="18" s="1"/>
  <c r="L14" i="18" s="1"/>
  <c r="G33" i="56"/>
  <c r="X12" i="41"/>
  <c r="EF79" i="41" s="1"/>
  <c r="L7" i="73"/>
  <c r="I64" i="18"/>
  <c r="J64" i="18" s="1"/>
  <c r="F48" i="49"/>
  <c r="H30" i="56"/>
  <c r="H31" i="56"/>
  <c r="M18" i="50"/>
  <c r="D57" i="18"/>
  <c r="L8" i="65"/>
  <c r="I21" i="18"/>
  <c r="J21" i="18" s="1"/>
  <c r="L21" i="18" s="1"/>
  <c r="AN9" i="41"/>
  <c r="DP76" i="41" s="1"/>
  <c r="H66" i="18"/>
  <c r="I66" i="18" s="1"/>
  <c r="J66" i="18" s="1"/>
  <c r="E52" i="50"/>
  <c r="F46" i="50" s="1"/>
  <c r="H52" i="48"/>
  <c r="N37" i="65"/>
  <c r="N38" i="65" s="1"/>
  <c r="U11" i="41" s="1"/>
  <c r="EI78" i="41" s="1"/>
  <c r="M38" i="65"/>
  <c r="L8" i="74"/>
  <c r="N8" i="42"/>
  <c r="L18" i="52"/>
  <c r="N18" i="52" s="1"/>
  <c r="L28" i="52"/>
  <c r="N28" i="52" s="1"/>
  <c r="L28" i="58"/>
  <c r="M28" i="58" s="1"/>
  <c r="L18" i="61"/>
  <c r="L28" i="60"/>
  <c r="M28" i="60" s="1"/>
  <c r="L28" i="61"/>
  <c r="T9" i="41"/>
  <c r="EJ76" i="41" s="1"/>
  <c r="L6" i="68"/>
  <c r="L5" i="72"/>
  <c r="J22" i="18"/>
  <c r="L22" i="18" s="1"/>
  <c r="N8" i="40"/>
  <c r="E52" i="47"/>
  <c r="F45" i="47" s="1"/>
  <c r="E52" i="48"/>
  <c r="F48" i="48" s="1"/>
  <c r="L28" i="55"/>
  <c r="M28" i="55" s="1"/>
  <c r="L5" i="67"/>
  <c r="L5" i="74"/>
  <c r="L6" i="79"/>
  <c r="L6" i="83"/>
  <c r="L33" i="77"/>
  <c r="I154" i="45"/>
  <c r="I149" i="95"/>
  <c r="I169" i="95" s="1"/>
  <c r="D169" i="95"/>
  <c r="H169" i="95"/>
  <c r="H56" i="95"/>
  <c r="H74" i="95" s="1"/>
  <c r="G169" i="95"/>
  <c r="C169" i="95"/>
  <c r="B149" i="95"/>
  <c r="B169" i="95" s="1"/>
  <c r="E169" i="95"/>
  <c r="F169" i="95"/>
  <c r="J149" i="95"/>
  <c r="J169" i="95" s="1"/>
  <c r="G62" i="18"/>
  <c r="DU76" i="41"/>
  <c r="AI12" i="41"/>
  <c r="DU79" i="41" s="1"/>
  <c r="AH7" i="41"/>
  <c r="L7" i="82"/>
  <c r="H63" i="18"/>
  <c r="I63" i="18" s="1"/>
  <c r="I19" i="18"/>
  <c r="J19" i="18" s="1"/>
  <c r="L19" i="18" s="1"/>
  <c r="F22" i="18"/>
  <c r="C66" i="18"/>
  <c r="F66" i="18" s="1"/>
  <c r="C43" i="18"/>
  <c r="F43" i="18" s="1"/>
  <c r="G63" i="18"/>
  <c r="E52" i="55"/>
  <c r="F48" i="55" s="1"/>
  <c r="J33" i="56"/>
  <c r="I33" i="56"/>
  <c r="C58" i="18"/>
  <c r="F58" i="18" s="1"/>
  <c r="C35" i="18"/>
  <c r="F35" i="18" s="1"/>
  <c r="F14" i="18"/>
  <c r="G61" i="18"/>
  <c r="C40" i="18"/>
  <c r="F40" i="18" s="1"/>
  <c r="F19" i="18"/>
  <c r="C63" i="18"/>
  <c r="F63" i="18" s="1"/>
  <c r="EB73" i="41"/>
  <c r="AB12" i="41"/>
  <c r="EB79" i="41" s="1"/>
  <c r="L7" i="75"/>
  <c r="AC7" i="41"/>
  <c r="L5" i="75"/>
  <c r="AC9" i="41"/>
  <c r="EA76" i="41" s="1"/>
  <c r="DM78" i="41"/>
  <c r="AQ12" i="41"/>
  <c r="DM79" i="41" s="1"/>
  <c r="DR74" i="41"/>
  <c r="G58" i="18"/>
  <c r="DQ76" i="41"/>
  <c r="AM12" i="41"/>
  <c r="DQ79" i="41" s="1"/>
  <c r="J31" i="56"/>
  <c r="I31" i="56"/>
  <c r="H40" i="18"/>
  <c r="I40" i="18" s="1"/>
  <c r="F48" i="50"/>
  <c r="E52" i="52"/>
  <c r="F51" i="52" s="1"/>
  <c r="F20" i="18"/>
  <c r="C64" i="18"/>
  <c r="F64" i="18" s="1"/>
  <c r="F51" i="55"/>
  <c r="AA12" i="41"/>
  <c r="EC79" i="41" s="1"/>
  <c r="AD12" i="41"/>
  <c r="DZ79" i="41" s="1"/>
  <c r="F13" i="18"/>
  <c r="G13" i="18" s="1"/>
  <c r="G40" i="18"/>
  <c r="H16" i="18"/>
  <c r="G16" i="18"/>
  <c r="F34" i="18"/>
  <c r="F49" i="46"/>
  <c r="G31" i="56"/>
  <c r="G30" i="56"/>
  <c r="G35" i="56"/>
  <c r="G36" i="56"/>
  <c r="G19" i="41"/>
  <c r="G20" i="41"/>
  <c r="T25" i="42"/>
  <c r="DX74" i="41"/>
  <c r="DW74" i="41"/>
  <c r="L5" i="81"/>
  <c r="AG9" i="41"/>
  <c r="DW76" i="41" s="1"/>
  <c r="G37" i="18"/>
  <c r="V12" i="41"/>
  <c r="EH79" i="41" s="1"/>
  <c r="L7" i="83"/>
  <c r="AN12" i="41"/>
  <c r="DP79" i="41" s="1"/>
  <c r="A58" i="18"/>
  <c r="A15" i="18"/>
  <c r="H17" i="18"/>
  <c r="I17" i="18" s="1"/>
  <c r="F45" i="49"/>
  <c r="F33" i="56"/>
  <c r="H29" i="56"/>
  <c r="AE9" i="41"/>
  <c r="EE74" i="41"/>
  <c r="Y12" i="41"/>
  <c r="EE79" i="41" s="1"/>
  <c r="D38" i="18"/>
  <c r="H18" i="18"/>
  <c r="F15" i="18"/>
  <c r="C59" i="18"/>
  <c r="F59" i="18" s="1"/>
  <c r="C62" i="18"/>
  <c r="F62" i="18" s="1"/>
  <c r="C39" i="18"/>
  <c r="F39" i="18" s="1"/>
  <c r="P8" i="19"/>
  <c r="P26" i="19" s="1"/>
  <c r="H52" i="50"/>
  <c r="F46" i="49"/>
  <c r="H52" i="49"/>
  <c r="F51" i="49"/>
  <c r="L7" i="67"/>
  <c r="W7" i="41"/>
  <c r="L18" i="71"/>
  <c r="L8" i="67"/>
  <c r="L6" i="75"/>
  <c r="J24" i="77"/>
  <c r="J32" i="77" s="1"/>
  <c r="FA68" i="41"/>
  <c r="ES76" i="41"/>
  <c r="EV74" i="41"/>
  <c r="ES77" i="41"/>
  <c r="EP74" i="41"/>
  <c r="EN76" i="41"/>
  <c r="EX75" i="41"/>
  <c r="ET76" i="41"/>
  <c r="EX72" i="41"/>
  <c r="F12" i="41"/>
  <c r="EX79" i="41" s="1"/>
  <c r="EM76" i="41"/>
  <c r="EN77" i="41"/>
  <c r="EW75" i="41"/>
  <c r="EV72" i="41"/>
  <c r="H12" i="41"/>
  <c r="EV79" i="41" s="1"/>
  <c r="EN75" i="41"/>
  <c r="ER76" i="41"/>
  <c r="EX77" i="41"/>
  <c r="I12" i="41"/>
  <c r="EU79" i="41" s="1"/>
  <c r="EU72" i="41"/>
  <c r="EW74" i="41"/>
  <c r="EQ76" i="41"/>
  <c r="EX76" i="41"/>
  <c r="EO78" i="41"/>
  <c r="ET77" i="41"/>
  <c r="ER77" i="41"/>
  <c r="EW76" i="41"/>
  <c r="EP75" i="41"/>
  <c r="EM74" i="41"/>
  <c r="EO75" i="41"/>
  <c r="Q12" i="41"/>
  <c r="EM79" i="41" s="1"/>
  <c r="EM72" i="41"/>
  <c r="ER74" i="41"/>
  <c r="ET74" i="41"/>
  <c r="ER72" i="41"/>
  <c r="L12" i="41"/>
  <c r="ER79" i="41" s="1"/>
  <c r="EN74" i="41"/>
  <c r="ES75" i="41"/>
  <c r="EX74" i="41"/>
  <c r="EP76" i="41"/>
  <c r="EP72" i="41"/>
  <c r="N12" i="41"/>
  <c r="EP79" i="41" s="1"/>
  <c r="ET75" i="41"/>
  <c r="EQ77" i="41"/>
  <c r="EQ74" i="41"/>
  <c r="EM77" i="41"/>
  <c r="EM78" i="41"/>
  <c r="EX78" i="41"/>
  <c r="EM75" i="41"/>
  <c r="EV77" i="41"/>
  <c r="EN78" i="41"/>
  <c r="ET72" i="41"/>
  <c r="J12" i="41"/>
  <c r="ET79" i="41" s="1"/>
  <c r="EU75" i="41"/>
  <c r="O12" i="41"/>
  <c r="EO79" i="41" s="1"/>
  <c r="EO72" i="41"/>
  <c r="EU76" i="41"/>
  <c r="P12" i="41"/>
  <c r="EN79" i="41" s="1"/>
  <c r="EN72" i="41"/>
  <c r="ES74" i="41"/>
  <c r="EU74" i="41"/>
  <c r="EQ72" i="41"/>
  <c r="M12" i="41"/>
  <c r="EQ79" i="41" s="1"/>
  <c r="EQ75" i="41"/>
  <c r="EV78" i="41"/>
  <c r="ES72" i="41"/>
  <c r="K12" i="41"/>
  <c r="ES79" i="41" s="1"/>
  <c r="EU77" i="41"/>
  <c r="EV76" i="41"/>
  <c r="ER75" i="41"/>
  <c r="EO74" i="41"/>
  <c r="EP77" i="41"/>
  <c r="EO77" i="41"/>
  <c r="EV75" i="41"/>
  <c r="EW78" i="41"/>
  <c r="EO76" i="41"/>
  <c r="G10" i="41"/>
  <c r="G5" i="41"/>
  <c r="C186" i="95" l="1"/>
  <c r="C180" i="95"/>
  <c r="B190" i="95"/>
  <c r="L43" i="18"/>
  <c r="F51" i="47"/>
  <c r="J17" i="18"/>
  <c r="L17" i="18" s="1"/>
  <c r="F50" i="50"/>
  <c r="AL12" i="41"/>
  <c r="DR79" i="41" s="1"/>
  <c r="F50" i="47"/>
  <c r="L65" i="18"/>
  <c r="F50" i="46"/>
  <c r="F49" i="47"/>
  <c r="J63" i="18"/>
  <c r="U14" i="19"/>
  <c r="U26" i="19" s="1"/>
  <c r="L41" i="18"/>
  <c r="H59" i="18"/>
  <c r="I59" i="18" s="1"/>
  <c r="J59" i="18" s="1"/>
  <c r="L59" i="18" s="1"/>
  <c r="H36" i="18"/>
  <c r="I36" i="18" s="1"/>
  <c r="J36" i="18" s="1"/>
  <c r="L36" i="18" s="1"/>
  <c r="F47" i="47"/>
  <c r="F49" i="48"/>
  <c r="F46" i="47"/>
  <c r="F45" i="50"/>
  <c r="L42" i="18"/>
  <c r="F49" i="50"/>
  <c r="F48" i="47"/>
  <c r="J40" i="18"/>
  <c r="L40" i="18" s="1"/>
  <c r="L66" i="18"/>
  <c r="F47" i="50"/>
  <c r="U25" i="40"/>
  <c r="U26" i="40" s="1"/>
  <c r="EW72" i="41"/>
  <c r="G12" i="41"/>
  <c r="EW79" i="41" s="1"/>
  <c r="EW77" i="41"/>
  <c r="G24" i="41"/>
  <c r="G22" i="41"/>
  <c r="G21" i="41"/>
  <c r="EZ70" i="41"/>
  <c r="C3" i="41"/>
  <c r="FA70" i="41" s="1"/>
  <c r="I36" i="56"/>
  <c r="J36" i="56"/>
  <c r="G25" i="41"/>
  <c r="F47" i="48"/>
  <c r="F46" i="55"/>
  <c r="I33" i="77"/>
  <c r="I38" i="77" s="1"/>
  <c r="H45" i="52"/>
  <c r="F50" i="48"/>
  <c r="G57" i="18"/>
  <c r="G67" i="18" s="1"/>
  <c r="I30" i="56"/>
  <c r="J30" i="56"/>
  <c r="DT74" i="41"/>
  <c r="AJ12" i="41"/>
  <c r="DT79" i="41" s="1"/>
  <c r="G23" i="41"/>
  <c r="G34" i="18"/>
  <c r="F45" i="48"/>
  <c r="F52" i="48" s="1"/>
  <c r="H50" i="52"/>
  <c r="EI74" i="41"/>
  <c r="U12" i="41"/>
  <c r="EI79" i="41" s="1"/>
  <c r="T12" i="41"/>
  <c r="EJ79" i="41" s="1"/>
  <c r="EJ75" i="41"/>
  <c r="F47" i="46"/>
  <c r="F48" i="46"/>
  <c r="F51" i="46"/>
  <c r="F45" i="46"/>
  <c r="F51" i="48"/>
  <c r="F52" i="49"/>
  <c r="H19" i="41"/>
  <c r="H20" i="41" s="1"/>
  <c r="F46" i="52"/>
  <c r="F46" i="48"/>
  <c r="F52" i="47"/>
  <c r="H58" i="18"/>
  <c r="I58" i="18" s="1"/>
  <c r="J58" i="18" s="1"/>
  <c r="L58" i="18" s="1"/>
  <c r="H35" i="18"/>
  <c r="I35" i="18" s="1"/>
  <c r="J35" i="18" s="1"/>
  <c r="L35" i="18" s="1"/>
  <c r="L38" i="77"/>
  <c r="H57" i="18"/>
  <c r="I57" i="18" s="1"/>
  <c r="H34" i="18"/>
  <c r="I34" i="18" s="1"/>
  <c r="F51" i="50"/>
  <c r="J56" i="95"/>
  <c r="J74" i="95" s="1"/>
  <c r="L64" i="18"/>
  <c r="L63" i="18"/>
  <c r="EG74" i="41"/>
  <c r="W12" i="41"/>
  <c r="EG79" i="41" s="1"/>
  <c r="H61" i="18"/>
  <c r="I61" i="18" s="1"/>
  <c r="J61" i="18" s="1"/>
  <c r="L61" i="18" s="1"/>
  <c r="H38" i="18"/>
  <c r="I38" i="18" s="1"/>
  <c r="EA74" i="41"/>
  <c r="AC12" i="41"/>
  <c r="EA79" i="41" s="1"/>
  <c r="A59" i="18"/>
  <c r="A16" i="18"/>
  <c r="A36" i="18"/>
  <c r="H39" i="18"/>
  <c r="I39" i="18" s="1"/>
  <c r="J39" i="18" s="1"/>
  <c r="L39" i="18" s="1"/>
  <c r="H62" i="18"/>
  <c r="I62" i="18" s="1"/>
  <c r="J62" i="18" s="1"/>
  <c r="L62" i="18" s="1"/>
  <c r="I18" i="18"/>
  <c r="J18" i="18" s="1"/>
  <c r="L18" i="18" s="1"/>
  <c r="AE12" i="41"/>
  <c r="DY79" i="41" s="1"/>
  <c r="DY76" i="41"/>
  <c r="F45" i="52"/>
  <c r="F48" i="52"/>
  <c r="F47" i="52"/>
  <c r="F50" i="52"/>
  <c r="F49" i="52"/>
  <c r="AH12" i="41"/>
  <c r="DV79" i="41" s="1"/>
  <c r="DV74" i="41"/>
  <c r="H60" i="18"/>
  <c r="I60" i="18" s="1"/>
  <c r="J60" i="18" s="1"/>
  <c r="L60" i="18" s="1"/>
  <c r="H37" i="18"/>
  <c r="I37" i="18" s="1"/>
  <c r="J37" i="18" s="1"/>
  <c r="L37" i="18" s="1"/>
  <c r="I16" i="18"/>
  <c r="G38" i="18"/>
  <c r="J29" i="56"/>
  <c r="I29" i="56"/>
  <c r="AG12" i="41"/>
  <c r="DW79" i="41" s="1"/>
  <c r="T26" i="42"/>
  <c r="U25" i="42"/>
  <c r="U26" i="42" s="1"/>
  <c r="G23" i="18"/>
  <c r="J13" i="18"/>
  <c r="F47" i="55"/>
  <c r="F49" i="55"/>
  <c r="F45" i="55"/>
  <c r="J33" i="77"/>
  <c r="J38" i="77" s="1"/>
  <c r="F50" i="55"/>
  <c r="H52" i="52" l="1"/>
  <c r="G26" i="41"/>
  <c r="G44" i="18"/>
  <c r="F52" i="50"/>
  <c r="F52" i="46"/>
  <c r="J38" i="18"/>
  <c r="L38" i="18" s="1"/>
  <c r="J57" i="18"/>
  <c r="L57" i="18" s="1"/>
  <c r="L67" i="18" s="1"/>
  <c r="I67" i="18"/>
  <c r="J34" i="18"/>
  <c r="L34" i="18" s="1"/>
  <c r="K130" i="95"/>
  <c r="A17" i="18"/>
  <c r="A60" i="18"/>
  <c r="A37" i="18"/>
  <c r="F52" i="55"/>
  <c r="L13" i="18"/>
  <c r="J16" i="18"/>
  <c r="L16" i="18" s="1"/>
  <c r="I23" i="18"/>
  <c r="I44" i="18"/>
  <c r="F52" i="52"/>
  <c r="J67" i="18"/>
  <c r="K163" i="95"/>
  <c r="K168" i="95" s="1"/>
  <c r="K171" i="95" s="1"/>
  <c r="C185" i="95" l="1"/>
  <c r="L44" i="18"/>
  <c r="M38" i="18" s="1"/>
  <c r="J44" i="18"/>
  <c r="M39" i="18"/>
  <c r="M43" i="18"/>
  <c r="M34" i="18"/>
  <c r="M40" i="18"/>
  <c r="M42" i="18"/>
  <c r="M36" i="18"/>
  <c r="M41" i="18"/>
  <c r="M58" i="18"/>
  <c r="M60" i="18"/>
  <c r="M65" i="18"/>
  <c r="M66" i="18"/>
  <c r="M62" i="18"/>
  <c r="M57" i="18"/>
  <c r="M64" i="18"/>
  <c r="M59" i="18"/>
  <c r="M63" i="18"/>
  <c r="M61" i="18"/>
  <c r="L23" i="18"/>
  <c r="M13" i="18"/>
  <c r="M14" i="18" s="1"/>
  <c r="M15" i="18" s="1"/>
  <c r="M16" i="18" s="1"/>
  <c r="M17" i="18" s="1"/>
  <c r="M18" i="18" s="1"/>
  <c r="M19" i="18" s="1"/>
  <c r="M20" i="18" s="1"/>
  <c r="M21" i="18" s="1"/>
  <c r="M22" i="18" s="1"/>
  <c r="J23" i="18"/>
  <c r="A38" i="18"/>
  <c r="A61" i="18"/>
  <c r="A18" i="18"/>
  <c r="M37" i="18" l="1"/>
  <c r="M35" i="18"/>
  <c r="C30" i="18"/>
  <c r="B75" i="18" s="1"/>
  <c r="C183" i="95"/>
  <c r="C184" i="95"/>
  <c r="C176" i="95"/>
  <c r="C178" i="95"/>
  <c r="C179" i="95"/>
  <c r="C174" i="95"/>
  <c r="C177" i="95"/>
  <c r="C182" i="95"/>
  <c r="C175" i="95"/>
  <c r="C173" i="95"/>
  <c r="C181" i="95"/>
  <c r="C53" i="18"/>
  <c r="B87" i="18" s="1"/>
  <c r="A19" i="18"/>
  <c r="A62" i="18"/>
  <c r="A39" i="18"/>
  <c r="C187" i="95" l="1"/>
  <c r="K149" i="95"/>
  <c r="D53" i="18"/>
  <c r="D30" i="18"/>
  <c r="A63" i="18"/>
  <c r="A20" i="18"/>
  <c r="A40" i="18"/>
  <c r="K169" i="95" l="1"/>
  <c r="A64" i="18"/>
  <c r="A41" i="18"/>
  <c r="A21" i="18"/>
  <c r="A22" i="18" l="1"/>
  <c r="A42" i="18"/>
  <c r="A65" i="18"/>
  <c r="A43" i="18" l="1"/>
  <c r="A66"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University Administration</author>
    <author>LaVette Clark</author>
  </authors>
  <commentList>
    <comment ref="B10" authorId="0" shapeId="0" xr:uid="{00000000-0006-0000-0800-000001000000}">
      <text>
        <r>
          <rPr>
            <b/>
            <sz val="9"/>
            <color indexed="81"/>
            <rFont val="Tahoma"/>
            <family val="2"/>
          </rPr>
          <t>University Administration:</t>
        </r>
        <r>
          <rPr>
            <sz val="9"/>
            <color indexed="81"/>
            <rFont val="Tahoma"/>
            <family val="2"/>
          </rPr>
          <t xml:space="preserve">
Nicor purchased by Sequent Jan 2012.</t>
        </r>
      </text>
    </comment>
    <comment ref="B12" authorId="1" shapeId="0" xr:uid="{00000000-0006-0000-0800-000002000000}">
      <text>
        <r>
          <rPr>
            <b/>
            <sz val="9"/>
            <color indexed="81"/>
            <rFont val="Tahoma"/>
            <family val="2"/>
          </rPr>
          <t>LaVette Clark:</t>
        </r>
        <r>
          <rPr>
            <sz val="9"/>
            <color indexed="81"/>
            <rFont val="Tahoma"/>
            <family val="2"/>
          </rPr>
          <t xml:space="preserve">
Monthly net termination amounts</t>
        </r>
      </text>
    </comment>
    <comment ref="D20" authorId="1" shapeId="0" xr:uid="{00000000-0006-0000-0800-000003000000}">
      <text>
        <r>
          <rPr>
            <b/>
            <sz val="9"/>
            <color indexed="81"/>
            <rFont val="Tahoma"/>
            <family val="2"/>
          </rPr>
          <t>LaVette Clark:</t>
        </r>
        <r>
          <rPr>
            <sz val="9"/>
            <color indexed="81"/>
            <rFont val="Tahoma"/>
            <family val="2"/>
          </rPr>
          <t xml:space="preserve">
Current Contract Amount from the Energy Summary worksheet</t>
        </r>
      </text>
    </comment>
    <comment ref="C23" authorId="1" shapeId="0" xr:uid="{00000000-0006-0000-0800-000004000000}">
      <text>
        <r>
          <rPr>
            <b/>
            <sz val="9"/>
            <color indexed="81"/>
            <rFont val="Tahoma"/>
            <family val="2"/>
          </rPr>
          <t>LaVette Clark:</t>
        </r>
        <r>
          <rPr>
            <sz val="9"/>
            <color indexed="81"/>
            <rFont val="Tahoma"/>
            <family val="2"/>
          </rPr>
          <t xml:space="preserve">
sum of COPS2004 DS and Morgan Stanley UIC SC 2008</t>
        </r>
      </text>
    </comment>
    <comment ref="B24" authorId="0" shapeId="0" xr:uid="{00000000-0006-0000-0800-000005000000}">
      <text>
        <r>
          <rPr>
            <b/>
            <sz val="9"/>
            <color indexed="81"/>
            <rFont val="Tahoma"/>
            <family val="2"/>
          </rPr>
          <t>University Administration:</t>
        </r>
        <r>
          <rPr>
            <sz val="9"/>
            <color indexed="81"/>
            <rFont val="Tahoma"/>
            <family val="2"/>
          </rPr>
          <t xml:space="preserve">
Nicor purchased by Sequent Jan 2012.</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wyczolko</author>
  </authors>
  <commentList>
    <comment ref="M31" authorId="0" shapeId="0" xr:uid="{00000000-0006-0000-2600-000001000000}">
      <text>
        <r>
          <rPr>
            <b/>
            <sz val="11"/>
            <color indexed="81"/>
            <rFont val="Tahoma"/>
            <family val="2"/>
          </rPr>
          <t>wyczolko:</t>
        </r>
        <r>
          <rPr>
            <sz val="11"/>
            <color indexed="81"/>
            <rFont val="Tahoma"/>
            <family val="2"/>
          </rPr>
          <t xml:space="preserve">
University Administration:
€50,000 = $70,350
$70,350 / €50,000 = $1.407 / €1
$X = Exchange Rate ($/€1 ) * €50,000
Exchange rate at 12/30/2011 per WSJ:
X = 1.29 * 50,000 = $64500</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wyczolko</author>
  </authors>
  <commentList>
    <comment ref="M31" authorId="0" shapeId="0" xr:uid="{00000000-0006-0000-2700-000001000000}">
      <text>
        <r>
          <rPr>
            <b/>
            <sz val="9"/>
            <color indexed="81"/>
            <rFont val="Tahoma"/>
            <family val="2"/>
          </rPr>
          <t xml:space="preserve">University Administration:
€50,000 = $70,350
</t>
        </r>
        <r>
          <rPr>
            <b/>
            <sz val="12"/>
            <color indexed="81"/>
            <rFont val="Tahoma"/>
            <family val="2"/>
          </rPr>
          <t>$70,350 / €50,000 = $1.407 / €1
$X = Exchange Rate ($/€1 ) * €50,000
Exchange rate at 11/30/2011 per WSJ:
X = 1.344 * 50,000 = $67,200</t>
        </r>
        <r>
          <rPr>
            <sz val="9"/>
            <color indexed="81"/>
            <rFont val="Tahoma"/>
            <family val="2"/>
          </rPr>
          <t xml:space="preserv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University Administration</author>
  </authors>
  <commentList>
    <comment ref="M31" authorId="0" shapeId="0" xr:uid="{00000000-0006-0000-2800-000001000000}">
      <text>
        <r>
          <rPr>
            <b/>
            <sz val="9"/>
            <color indexed="81"/>
            <rFont val="Tahoma"/>
            <family val="2"/>
          </rPr>
          <t>University Administration:</t>
        </r>
        <r>
          <rPr>
            <sz val="9"/>
            <color indexed="81"/>
            <rFont val="Tahoma"/>
            <family val="2"/>
          </rPr>
          <t xml:space="preserve">
</t>
        </r>
        <r>
          <rPr>
            <sz val="12"/>
            <color indexed="81"/>
            <rFont val="Tahoma"/>
            <family val="2"/>
          </rPr>
          <t>€50,000 = $70,350
$70,350 / €50,000 = $1.407 / €1
$X / €50,000 = $1.386 / €1  (exchange rate at 10/31/2011 per WSJ)
X = 1.386 * 50,000 = $69,300</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University Administration</author>
  </authors>
  <commentList>
    <comment ref="M31" authorId="0" shapeId="0" xr:uid="{00000000-0006-0000-2900-000001000000}">
      <text>
        <r>
          <rPr>
            <b/>
            <sz val="9"/>
            <color indexed="81"/>
            <rFont val="Tahoma"/>
            <family val="2"/>
          </rPr>
          <t>University Administration:</t>
        </r>
        <r>
          <rPr>
            <sz val="9"/>
            <color indexed="81"/>
            <rFont val="Tahoma"/>
            <family val="2"/>
          </rPr>
          <t xml:space="preserve">
</t>
        </r>
        <r>
          <rPr>
            <sz val="12"/>
            <color indexed="81"/>
            <rFont val="Calibri"/>
            <family val="2"/>
          </rPr>
          <t>€50,000 = $70,350
$70,350 / €50,000 = $1.407 / €1
$X / €50,000 = $1.339 / €1  (exchange rate at 9/30/2011 per WSJ)
X = 1.339 * 50,000 = $66,950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University Administration</author>
  </authors>
  <commentList>
    <comment ref="K5" authorId="0" shapeId="0" xr:uid="{00000000-0006-0000-1E00-000001000000}">
      <text>
        <r>
          <rPr>
            <b/>
            <sz val="9"/>
            <color indexed="81"/>
            <rFont val="Tahoma"/>
            <family val="2"/>
          </rPr>
          <t>University Administration:</t>
        </r>
        <r>
          <rPr>
            <sz val="9"/>
            <color indexed="81"/>
            <rFont val="Tahoma"/>
            <family val="2"/>
          </rPr>
          <t xml:space="preserve">
COPS 2004  had a $7.12M principal payment in September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wyczolko</author>
  </authors>
  <commentList>
    <comment ref="M37" authorId="0" shapeId="0" xr:uid="{00000000-0006-0000-1F00-000001000000}">
      <text>
        <r>
          <rPr>
            <b/>
            <sz val="14"/>
            <color indexed="81"/>
            <rFont val="Tahoma"/>
            <family val="2"/>
          </rPr>
          <t>wyczolko:</t>
        </r>
        <r>
          <rPr>
            <sz val="14"/>
            <color indexed="81"/>
            <rFont val="Tahoma"/>
            <family val="2"/>
          </rPr>
          <t xml:space="preserve">
University Administration:
€50,000 = $70,350
$70,350 / €50,000 = $1.407 / €1
$X = Exchange Rate ($/€1 ) * €50,000
Exchange rate at 6/30/2012 per WSJ:
X = 1.265 * 50,000 = $63,250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wyczolko</author>
  </authors>
  <commentList>
    <comment ref="M34" authorId="0" shapeId="0" xr:uid="{00000000-0006-0000-2000-000001000000}">
      <text>
        <r>
          <rPr>
            <b/>
            <sz val="11"/>
            <color indexed="81"/>
            <rFont val="Tahoma"/>
            <family val="2"/>
          </rPr>
          <t>wyczolko:</t>
        </r>
        <r>
          <rPr>
            <sz val="11"/>
            <color indexed="81"/>
            <rFont val="Tahoma"/>
            <family val="2"/>
          </rPr>
          <t xml:space="preserve">
University Administration:
€50,000 = $70,350
$70,350 / €50,000 = $1.407 / €1
$X = Exchange Rate ($/€1 ) * €50,000
Exchange rate at 5/31/2012 per WSJ:
X = 1.24 * 50,000 = $62,000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wyczolko</author>
  </authors>
  <commentList>
    <comment ref="M31" authorId="0" shapeId="0" xr:uid="{00000000-0006-0000-2100-000001000000}">
      <text>
        <r>
          <rPr>
            <b/>
            <sz val="11"/>
            <color indexed="81"/>
            <rFont val="Tahoma"/>
            <family val="2"/>
          </rPr>
          <t>wyczolko:</t>
        </r>
        <r>
          <rPr>
            <sz val="11"/>
            <color indexed="81"/>
            <rFont val="Tahoma"/>
            <family val="2"/>
          </rPr>
          <t xml:space="preserve">
University Administration:
</t>
        </r>
        <r>
          <rPr>
            <sz val="14"/>
            <color indexed="81"/>
            <rFont val="Tahoma"/>
            <family val="2"/>
          </rPr>
          <t>€50,000 = $70,350
$70,350 / €50,000 = $1.407 / €1
$X = Exchange Rate ($/€1 ) * €50,000
Exchange rate at 5/31/2012 per WSJ:
X = 1.24 * 50,000 = $62,000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wyczolko</author>
  </authors>
  <commentList>
    <comment ref="M31" authorId="0" shapeId="0" xr:uid="{00000000-0006-0000-2200-000001000000}">
      <text>
        <r>
          <rPr>
            <b/>
            <sz val="11"/>
            <color indexed="81"/>
            <rFont val="Tahoma"/>
            <family val="2"/>
          </rPr>
          <t>wyczolko:</t>
        </r>
        <r>
          <rPr>
            <sz val="11"/>
            <color indexed="81"/>
            <rFont val="Tahoma"/>
            <family val="2"/>
          </rPr>
          <t xml:space="preserve">
University Administration:
€50,000 = $70,350
$70,350 / €50,000 = $1.407 / €1
$X = Exchange Rate ($/€1 ) * €50,000
Exchange rate at 4/30/2012 per WSJ:
X = 1.32 * 50,000 = $66,000</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wyczolko</author>
  </authors>
  <commentList>
    <comment ref="M31" authorId="0" shapeId="0" xr:uid="{00000000-0006-0000-2300-000001000000}">
      <text>
        <r>
          <rPr>
            <b/>
            <sz val="14"/>
            <color indexed="81"/>
            <rFont val="Tahoma"/>
            <family val="2"/>
          </rPr>
          <t>wyczolko:
University Administration:
€50,000 = $70,350
$70,350 / €50,000 = $1.407 / €1
$X = Exchange Rate ($/€1 ) * €50,000</t>
        </r>
        <r>
          <rPr>
            <sz val="14"/>
            <color indexed="81"/>
            <rFont val="Tahoma"/>
            <family val="2"/>
          </rPr>
          <t xml:space="preserve">
Exchange rate at 3/30/2012 per WSJ:
X = 1.33* 50,000 = $66500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wyczolko</author>
  </authors>
  <commentList>
    <comment ref="M31" authorId="0" shapeId="0" xr:uid="{00000000-0006-0000-2400-000001000000}">
      <text>
        <r>
          <rPr>
            <b/>
            <sz val="14"/>
            <color indexed="81"/>
            <rFont val="Tahoma"/>
            <family val="2"/>
          </rPr>
          <t>wyczolko:</t>
        </r>
        <r>
          <rPr>
            <sz val="14"/>
            <color indexed="81"/>
            <rFont val="Tahoma"/>
            <family val="2"/>
          </rPr>
          <t xml:space="preserve">
University Administration:
€50,000 = $70,350
$70,350 / €50,000 = $1.407 / €1
$X = Exchange Rate ($/€1 ) * €50,000
Exchange rate at 2/29/2012 per WSJ:
X = 1.33 * 50,000 = $66500</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wyczolko</author>
  </authors>
  <commentList>
    <comment ref="M31" authorId="0" shapeId="0" xr:uid="{00000000-0006-0000-2500-000001000000}">
      <text>
        <r>
          <rPr>
            <b/>
            <sz val="14"/>
            <color indexed="81"/>
            <rFont val="Tahoma"/>
            <family val="2"/>
          </rPr>
          <t>wyczolko:</t>
        </r>
        <r>
          <rPr>
            <sz val="14"/>
            <color indexed="81"/>
            <rFont val="Tahoma"/>
            <family val="2"/>
          </rPr>
          <t xml:space="preserve">
University Administration:
€50,000 = $70,350
$70,350 / €50,000 = $1.407 / €1
$X = Exchange Rate ($/€1 ) * €50,000
Exchange rate at 1/31/2012 per WSJ:
X = 1.31 * 50,000 = $65500</t>
        </r>
      </text>
    </comment>
  </commentList>
</comments>
</file>

<file path=xl/sharedStrings.xml><?xml version="1.0" encoding="utf-8"?>
<sst xmlns="http://schemas.openxmlformats.org/spreadsheetml/2006/main" count="10937" uniqueCount="623">
  <si>
    <t>Counterparty</t>
  </si>
  <si>
    <t>Morgan Stanley</t>
  </si>
  <si>
    <t>JPMorgan</t>
  </si>
  <si>
    <t>Treasury / Capital Financing</t>
  </si>
  <si>
    <t>Nicor Enerchange</t>
  </si>
  <si>
    <t>Counterparty List</t>
  </si>
  <si>
    <t>Unit List</t>
  </si>
  <si>
    <t>University Utilities Admin.</t>
  </si>
  <si>
    <t>Prairieland Energy, Inc.</t>
  </si>
  <si>
    <t>Treasury / Cash Management</t>
  </si>
  <si>
    <t>-</t>
  </si>
  <si>
    <t>Loop Financial Products, LLC</t>
  </si>
  <si>
    <t>Underlying Asset / Liability</t>
  </si>
  <si>
    <t>Derivative Type</t>
  </si>
  <si>
    <t>Swap</t>
  </si>
  <si>
    <t>Cap</t>
  </si>
  <si>
    <t>Collar</t>
  </si>
  <si>
    <t>Swaption</t>
  </si>
  <si>
    <t>Call Option</t>
  </si>
  <si>
    <t>Put Option</t>
  </si>
  <si>
    <t>Futures Contract</t>
  </si>
  <si>
    <t>Spark Spread Option</t>
  </si>
  <si>
    <t>Forward Purchase</t>
  </si>
  <si>
    <t>COP 2004</t>
  </si>
  <si>
    <t>UICSC 2008</t>
  </si>
  <si>
    <t>HSFS 2008</t>
  </si>
  <si>
    <t>Treasury / Agricultural Property Services</t>
  </si>
  <si>
    <t>American Electric Power Service Corp</t>
  </si>
  <si>
    <t>AAA</t>
  </si>
  <si>
    <t>AA+</t>
  </si>
  <si>
    <t>AA</t>
  </si>
  <si>
    <t>AA-</t>
  </si>
  <si>
    <t>BBB+</t>
  </si>
  <si>
    <t>BBB</t>
  </si>
  <si>
    <t>BBB-</t>
  </si>
  <si>
    <t>Aaa</t>
  </si>
  <si>
    <t>Aa1</t>
  </si>
  <si>
    <t>Aa2</t>
  </si>
  <si>
    <t>Aa3</t>
  </si>
  <si>
    <t>A+</t>
  </si>
  <si>
    <t>A</t>
  </si>
  <si>
    <t>A1</t>
  </si>
  <si>
    <t>A2</t>
  </si>
  <si>
    <t>A3</t>
  </si>
  <si>
    <t>Baa1</t>
  </si>
  <si>
    <t>Baa2</t>
  </si>
  <si>
    <t>Baa3</t>
  </si>
  <si>
    <t>Swap Start Date</t>
  </si>
  <si>
    <t>Swap End Date</t>
  </si>
  <si>
    <t>Actual</t>
  </si>
  <si>
    <t>Notional Amount</t>
  </si>
  <si>
    <t>Floating Rate</t>
  </si>
  <si>
    <t>1M LIBOR</t>
  </si>
  <si>
    <t>Term (Years)</t>
  </si>
  <si>
    <t>Swap Rate</t>
  </si>
  <si>
    <t>Daycount</t>
  </si>
  <si>
    <t>30/360</t>
  </si>
  <si>
    <t>Payments</t>
  </si>
  <si>
    <t>Semi-annual</t>
  </si>
  <si>
    <t>Pmt Date</t>
  </si>
  <si>
    <t>Pd. No.</t>
  </si>
  <si>
    <t>Notional Amt</t>
  </si>
  <si>
    <t>Annual Forward Rates at Inception</t>
  </si>
  <si>
    <t>Semi-Annual Forward Rates</t>
  </si>
  <si>
    <t>Floating Cash Flow</t>
  </si>
  <si>
    <t>Fixed Rate</t>
  </si>
  <si>
    <t>Fixed Cash Flow</t>
  </si>
  <si>
    <t>Net Cash Flow         (Paid to CP is +)</t>
  </si>
  <si>
    <t>Discount Factor</t>
  </si>
  <si>
    <t>PV Net Cash Flow</t>
  </si>
  <si>
    <t>Cum PV Net Cash Flow</t>
  </si>
  <si>
    <t>to UofI</t>
  </si>
  <si>
    <t>to C/P</t>
  </si>
  <si>
    <t>Early Termination Date:</t>
  </si>
  <si>
    <t>Termination Value:</t>
  </si>
  <si>
    <t>.</t>
  </si>
  <si>
    <t>Annual Forward Rates at Termination</t>
  </si>
  <si>
    <t>Net Cash Flow         (Paid to C/P is +)</t>
  </si>
  <si>
    <t>Remaining PV Net Cash Flow After Payment</t>
  </si>
  <si>
    <t>No.</t>
  </si>
  <si>
    <t>Item</t>
  </si>
  <si>
    <t>Comments</t>
  </si>
  <si>
    <t>Organization</t>
  </si>
  <si>
    <t>Drop Down Menu Lists - Do Not Print</t>
  </si>
  <si>
    <t>University of Illinois</t>
  </si>
  <si>
    <t>Grand Total</t>
  </si>
  <si>
    <t>INPUT Data - All Periods</t>
  </si>
  <si>
    <t>Report Date</t>
  </si>
  <si>
    <t>Expiration Date</t>
  </si>
  <si>
    <t>Originating Organization</t>
  </si>
  <si>
    <t>Responsible University Unit</t>
  </si>
  <si>
    <t>Ameren Energy Marketing</t>
  </si>
  <si>
    <t>Exelon Energy Marketing</t>
  </si>
  <si>
    <t>TERMINATION - RATES HAVE RISEN SINCE INCEPTION</t>
  </si>
  <si>
    <t>Uniform Yield Curve Increase</t>
  </si>
  <si>
    <t>TERMINATION - RATES HAVE REDUCED SINCE INCEPTION</t>
  </si>
  <si>
    <t>+ UofI Pays</t>
  </si>
  <si>
    <t>- UofI Receives</t>
  </si>
  <si>
    <t>Net Cash Flow         (+ UofI Pays)</t>
  </si>
  <si>
    <t>AT INCEPTION - 7/1/2006</t>
  </si>
  <si>
    <t>Uniform Yield Curve Decrease</t>
  </si>
  <si>
    <t>Data Table</t>
  </si>
  <si>
    <t>Uniformly Increasing Rates</t>
  </si>
  <si>
    <t>Uniformly Decreasing Rates</t>
  </si>
  <si>
    <t>Accrued Interest</t>
  </si>
  <si>
    <t>Subtotal</t>
  </si>
  <si>
    <t>Total</t>
  </si>
  <si>
    <t>a</t>
  </si>
  <si>
    <t>Interest Rate Swaps</t>
  </si>
  <si>
    <t>Energy Commodity</t>
  </si>
  <si>
    <t>Percent of Total</t>
  </si>
  <si>
    <t xml:space="preserve">Enter data in yellow boxes only.  </t>
  </si>
  <si>
    <t>Press "Swap Rate" button to solve for the fixed leg swap rate.</t>
  </si>
  <si>
    <t>Use the bottom two areas to determine value of swap at a future period after rates have either risen or declined.</t>
  </si>
  <si>
    <t>For Instructional Purposes Only</t>
  </si>
  <si>
    <t>Moody's</t>
  </si>
  <si>
    <t>S&amp;P</t>
  </si>
  <si>
    <t>Ba1</t>
  </si>
  <si>
    <t>Ba2</t>
  </si>
  <si>
    <t>Ba3</t>
  </si>
  <si>
    <t>A-</t>
  </si>
  <si>
    <t>BB+</t>
  </si>
  <si>
    <t>BB</t>
  </si>
  <si>
    <t>BB-</t>
  </si>
  <si>
    <t>Rated Entity</t>
  </si>
  <si>
    <t>Deutsche Bank</t>
  </si>
  <si>
    <t>NICOR Inc</t>
  </si>
  <si>
    <t>American Electric Power Inc</t>
  </si>
  <si>
    <t>Exelon Corporation</t>
  </si>
  <si>
    <t>Natural Gas (Mult.) FY2011</t>
  </si>
  <si>
    <t>Natural Gas (Mult.) (Mult.)  FY2012</t>
  </si>
  <si>
    <t>Natural Gas (Mult.)  FY2013</t>
  </si>
  <si>
    <t>Natural Gas (Mult.)  FY2014</t>
  </si>
  <si>
    <t>Natural Gas (Mult.)  FY2015</t>
  </si>
  <si>
    <t>Electricity (Mult.)  FY2011</t>
  </si>
  <si>
    <t>Electricity (Mult.) FY2012</t>
  </si>
  <si>
    <t>Electricity (Mult.)  FY2012</t>
  </si>
  <si>
    <t>Electricity (Mult.)  FY2013</t>
  </si>
  <si>
    <t>Electricity (Mult.)  FY2014</t>
  </si>
  <si>
    <t>Electricity (Mult.)  FY2015</t>
  </si>
  <si>
    <t>Notional Amount By Counterparty ($ Millions)</t>
  </si>
  <si>
    <t>Termination Value By Counterparty ($ Millions)</t>
  </si>
  <si>
    <t>NR</t>
  </si>
  <si>
    <t>Counterparty / Guarantor Bond Rating                    (S&amp;P )</t>
  </si>
  <si>
    <t>Counterparty / Guarantor Bond Rating                                   ( Moody's)</t>
  </si>
  <si>
    <t>Interest   Rate  Swaps - Millions</t>
  </si>
  <si>
    <t>Energy Forward Purchase Agreements - Millions</t>
  </si>
  <si>
    <t>Original Notional Amount</t>
  </si>
  <si>
    <t>Current Notional Amount</t>
  </si>
  <si>
    <t>Mark To Market Value</t>
  </si>
  <si>
    <t>Original Contract Amount</t>
  </si>
  <si>
    <t>Expired Amount</t>
  </si>
  <si>
    <t>Credit Limit    If Applicable</t>
  </si>
  <si>
    <r>
      <t xml:space="preserve">Mark To Market </t>
    </r>
    <r>
      <rPr>
        <b/>
        <u/>
        <sz val="12"/>
        <color theme="0"/>
        <rFont val="Tahoma"/>
        <family val="2"/>
      </rPr>
      <t>Exposure</t>
    </r>
    <r>
      <rPr>
        <b/>
        <sz val="12"/>
        <color theme="0"/>
        <rFont val="Tahoma"/>
        <family val="2"/>
      </rPr>
      <t xml:space="preserve"> (Fav)/Unfav</t>
    </r>
  </si>
  <si>
    <r>
      <t xml:space="preserve">Net Termination </t>
    </r>
    <r>
      <rPr>
        <b/>
        <u/>
        <sz val="12"/>
        <color theme="0"/>
        <rFont val="Tahoma"/>
        <family val="2"/>
      </rPr>
      <t>Exposure</t>
    </r>
    <r>
      <rPr>
        <b/>
        <sz val="12"/>
        <color theme="0"/>
        <rFont val="Tahoma"/>
        <family val="2"/>
      </rPr>
      <t xml:space="preserve"> (Fav)/Unfav</t>
    </r>
  </si>
  <si>
    <t>Subtotal - Natural Gas</t>
  </si>
  <si>
    <t>Subtotal - Electricity</t>
  </si>
  <si>
    <t>Current Contract Amount</t>
  </si>
  <si>
    <t>Initial Notional Amount</t>
  </si>
  <si>
    <t>Subtotal - Bonds</t>
  </si>
  <si>
    <t>Jan</t>
  </si>
  <si>
    <t>Feb</t>
  </si>
  <si>
    <t>Mar</t>
  </si>
  <si>
    <t>Apr</t>
  </si>
  <si>
    <t>May</t>
  </si>
  <si>
    <t>Jun</t>
  </si>
  <si>
    <t>Jul</t>
  </si>
  <si>
    <t>Aug</t>
  </si>
  <si>
    <t>Sep</t>
  </si>
  <si>
    <t>Oct</t>
  </si>
  <si>
    <t>Nov</t>
  </si>
  <si>
    <t>Dec</t>
  </si>
  <si>
    <t>Euros</t>
  </si>
  <si>
    <t>FX Hedging</t>
  </si>
  <si>
    <t>Original Fx Contract Amount</t>
  </si>
  <si>
    <t>Current Contract Fx Amount</t>
  </si>
  <si>
    <t>Natural Gas (Mult.) FY2012</t>
  </si>
  <si>
    <t>Foreign Exchange Transactions - Millions</t>
  </si>
  <si>
    <t>Expiry</t>
  </si>
  <si>
    <t>Net Termination Exposure (Fav)/Unfav</t>
  </si>
  <si>
    <t>Mark To Market Exposure (Fav)/Unfav</t>
  </si>
  <si>
    <t xml:space="preserve">Credit Limit </t>
  </si>
  <si>
    <t>Total Exposure - Millions</t>
  </si>
  <si>
    <t>Travelex</t>
  </si>
  <si>
    <t>Counterparty / Guarantor Bond Rating                (S&amp;P / Moody's )</t>
  </si>
  <si>
    <t>Totals By Category</t>
  </si>
  <si>
    <t>Original Contract Amounts</t>
  </si>
  <si>
    <t>Currrent Contract Amounts</t>
  </si>
  <si>
    <t>Report Date:</t>
  </si>
  <si>
    <t>INPUT PAGE</t>
  </si>
  <si>
    <t>Treasury Operations</t>
  </si>
  <si>
    <t>Treasury Operations / Cash Management</t>
  </si>
  <si>
    <t>Treasury Operations / Capital Financing</t>
  </si>
  <si>
    <t>Utilities Administration</t>
  </si>
  <si>
    <t>JP Morgan Chase NA</t>
  </si>
  <si>
    <t>Drop Down Menu Lists - Do Not Print-Do Not Delete</t>
  </si>
  <si>
    <t>Energy Commodity Transactions - Millions</t>
  </si>
  <si>
    <t>Natural Gas</t>
  </si>
  <si>
    <t>Electricity</t>
  </si>
  <si>
    <t>Expired FX Amount</t>
  </si>
  <si>
    <t>Original FX Contract Amount</t>
  </si>
  <si>
    <t>CurrentFX  Contract Amount</t>
  </si>
  <si>
    <t>Foreign Exchange Transactions - Millions of US Dollars</t>
  </si>
  <si>
    <t>Energy Commodity Transactions - Millions of US Dollars</t>
  </si>
  <si>
    <t>Interest   Rate  Swaps - Millions of US Dollars</t>
  </si>
  <si>
    <t>Credit Limit</t>
  </si>
  <si>
    <t>Totals</t>
  </si>
  <si>
    <t>Calculations for Charts and Tables</t>
  </si>
  <si>
    <t>Termination Exposure</t>
  </si>
  <si>
    <t>(Fixed)</t>
  </si>
  <si>
    <t>NA</t>
  </si>
  <si>
    <t>Counterparty / Guarantor Bond Rating                    (S&amp;P / Moody's )</t>
  </si>
  <si>
    <t>DO NOT CHANGE OR MOVE ABOVE DATA</t>
  </si>
  <si>
    <t>Subtotal Swaps</t>
  </si>
  <si>
    <t>Subtotal Electricity</t>
  </si>
  <si>
    <t>Subtotal FX</t>
  </si>
  <si>
    <t>DO NOT MOVE or DELETE</t>
  </si>
  <si>
    <t>Note:  Data prior to June 2011 is not formatted for this table.</t>
  </si>
  <si>
    <r>
      <t xml:space="preserve">Treasury enters into forward purchase agreement to buy </t>
    </r>
    <r>
      <rPr>
        <b/>
        <sz val="16"/>
        <color theme="1"/>
        <rFont val="Calibri"/>
        <family val="2"/>
      </rPr>
      <t>€50,000 for $70,350 on 6/24/2013.</t>
    </r>
  </si>
  <si>
    <t>University Long Euros</t>
  </si>
  <si>
    <t>Commodity ($)</t>
  </si>
  <si>
    <r>
      <t>Exchange Rate (€/US$</t>
    </r>
    <r>
      <rPr>
        <b/>
        <u/>
        <sz val="11"/>
        <color theme="1"/>
        <rFont val="Calibri"/>
        <family val="2"/>
      </rPr>
      <t>)</t>
    </r>
  </si>
  <si>
    <r>
      <t>Exchange Rate (US$/</t>
    </r>
    <r>
      <rPr>
        <b/>
        <u/>
        <sz val="11"/>
        <color theme="1"/>
        <rFont val="Calibri"/>
        <family val="2"/>
      </rPr>
      <t>€)</t>
    </r>
  </si>
  <si>
    <t>Notional Value</t>
  </si>
  <si>
    <t>Mark-To-Market (€)</t>
  </si>
  <si>
    <r>
      <t>Net Position (</t>
    </r>
    <r>
      <rPr>
        <b/>
        <u/>
        <sz val="11"/>
        <color theme="1"/>
        <rFont val="Calibri"/>
        <family val="2"/>
      </rPr>
      <t>€)</t>
    </r>
  </si>
  <si>
    <t>Mark-To-Market ($)</t>
  </si>
  <si>
    <t>Net Position (US$)</t>
  </si>
  <si>
    <r>
      <rPr>
        <b/>
        <sz val="11"/>
        <color theme="1"/>
        <rFont val="Calibri"/>
        <family val="2"/>
        <scheme val="minor"/>
      </rPr>
      <t xml:space="preserve">Net Termination </t>
    </r>
    <r>
      <rPr>
        <b/>
        <u/>
        <sz val="11"/>
        <color theme="1"/>
        <rFont val="Calibri"/>
        <family val="2"/>
        <scheme val="minor"/>
      </rPr>
      <t>Exposure (US$)</t>
    </r>
  </si>
  <si>
    <t>Fav / (Unfav) to Univ.</t>
  </si>
  <si>
    <t>€ strengthens against US$</t>
  </si>
  <si>
    <t>Base</t>
  </si>
  <si>
    <t>€ weakens against US$</t>
  </si>
  <si>
    <t>Ignores time value of money.</t>
  </si>
  <si>
    <r>
      <t xml:space="preserve">What If the contract terminated early without fault AND the </t>
    </r>
    <r>
      <rPr>
        <i/>
        <u/>
        <sz val="14"/>
        <color theme="1"/>
        <rFont val="Calibri"/>
        <family val="2"/>
        <scheme val="minor"/>
      </rPr>
      <t>dollar strengthened</t>
    </r>
    <r>
      <rPr>
        <i/>
        <sz val="14"/>
        <color theme="1"/>
        <rFont val="Calibri"/>
        <family val="2"/>
        <scheme val="minor"/>
      </rPr>
      <t>?  University would owe USB.</t>
    </r>
  </si>
  <si>
    <r>
      <t xml:space="preserve">What If the contract terminated early without fault AND  the </t>
    </r>
    <r>
      <rPr>
        <i/>
        <u/>
        <sz val="14"/>
        <color theme="1"/>
        <rFont val="Calibri"/>
        <family val="2"/>
        <scheme val="minor"/>
      </rPr>
      <t>dollar weakened</t>
    </r>
    <r>
      <rPr>
        <i/>
        <sz val="14"/>
        <color theme="1"/>
        <rFont val="Calibri"/>
        <family val="2"/>
        <scheme val="minor"/>
      </rPr>
      <t>?  USB would owe the University.</t>
    </r>
  </si>
  <si>
    <t>NO ENTRIES ON THIS SHEET!</t>
  </si>
  <si>
    <t>COPS 2004</t>
  </si>
  <si>
    <t>Sequent Energy Management, LP</t>
  </si>
  <si>
    <t>AGL Resources</t>
  </si>
  <si>
    <t>Counterparty Reports</t>
  </si>
  <si>
    <t>Preparing Files</t>
  </si>
  <si>
    <r>
      <t>1.</t>
    </r>
    <r>
      <rPr>
        <sz val="7"/>
        <color theme="1"/>
        <rFont val="Times New Roman"/>
        <family val="1"/>
      </rPr>
      <t xml:space="preserve">      </t>
    </r>
    <r>
      <rPr>
        <sz val="12"/>
        <color theme="1"/>
        <rFont val="Times New Roman"/>
        <family val="1"/>
      </rPr>
      <t>Create a folder in the “...\Counterparties\Reporting” directory for the current month in the format “Mmmmyyyy” (e.g. “September2014”).</t>
    </r>
  </si>
  <si>
    <r>
      <t>2.</t>
    </r>
    <r>
      <rPr>
        <sz val="7"/>
        <color theme="1"/>
        <rFont val="Times New Roman"/>
        <family val="1"/>
      </rPr>
      <t xml:space="preserve">      </t>
    </r>
    <r>
      <rPr>
        <sz val="12"/>
        <color theme="1"/>
        <rFont val="Times New Roman"/>
        <family val="1"/>
      </rPr>
      <t>Copy the following files from the previous month’s folder into the new folder:</t>
    </r>
  </si>
  <si>
    <r>
      <t>a.</t>
    </r>
    <r>
      <rPr>
        <sz val="7"/>
        <color theme="1"/>
        <rFont val="Times New Roman"/>
        <family val="1"/>
      </rPr>
      <t xml:space="preserve">       </t>
    </r>
    <r>
      <rPr>
        <sz val="12"/>
        <color theme="1"/>
        <rFont val="Times New Roman"/>
        <family val="1"/>
      </rPr>
      <t>Schedule_A.</t>
    </r>
    <r>
      <rPr>
        <sz val="11"/>
        <color theme="1"/>
        <rFont val="Calibri"/>
        <family val="2"/>
      </rPr>
      <t xml:space="preserve"> </t>
    </r>
    <r>
      <rPr>
        <sz val="12"/>
        <color theme="1"/>
        <rFont val="Times New Roman"/>
        <family val="1"/>
      </rPr>
      <t>Mmmmyyyy _newbuild.xlsm</t>
    </r>
  </si>
  <si>
    <r>
      <t>b.</t>
    </r>
    <r>
      <rPr>
        <sz val="7"/>
        <color theme="1"/>
        <rFont val="Times New Roman"/>
        <family val="1"/>
      </rPr>
      <t xml:space="preserve">      </t>
    </r>
    <r>
      <rPr>
        <sz val="12"/>
        <color theme="1"/>
        <rFont val="Times New Roman"/>
        <family val="1"/>
      </rPr>
      <t>DerivativeSummary.Mmmmyyyy.docx</t>
    </r>
  </si>
  <si>
    <r>
      <t>3.</t>
    </r>
    <r>
      <rPr>
        <sz val="7"/>
        <color theme="1"/>
        <rFont val="Times New Roman"/>
        <family val="1"/>
      </rPr>
      <t xml:space="preserve">      </t>
    </r>
    <r>
      <rPr>
        <sz val="12"/>
        <color theme="1"/>
        <rFont val="Times New Roman"/>
        <family val="1"/>
      </rPr>
      <t>Rename the files from step 2 to the current month.</t>
    </r>
  </si>
  <si>
    <r>
      <t>4.</t>
    </r>
    <r>
      <rPr>
        <sz val="7"/>
        <color theme="1"/>
        <rFont val="Times New Roman"/>
        <family val="1"/>
      </rPr>
      <t xml:space="preserve">      </t>
    </r>
    <r>
      <rPr>
        <sz val="12"/>
        <color theme="1"/>
        <rFont val="Times New Roman"/>
        <family val="1"/>
      </rPr>
      <t>Save all informational files into the new folder. They include:</t>
    </r>
  </si>
  <si>
    <r>
      <t>a.</t>
    </r>
    <r>
      <rPr>
        <sz val="7"/>
        <color theme="1"/>
        <rFont val="Times New Roman"/>
        <family val="1"/>
      </rPr>
      <t xml:space="preserve">       </t>
    </r>
    <r>
      <rPr>
        <sz val="12"/>
        <color theme="1"/>
        <rFont val="Times New Roman"/>
        <family val="1"/>
      </rPr>
      <t>Swap Viewer</t>
    </r>
  </si>
  <si>
    <r>
      <t>b.</t>
    </r>
    <r>
      <rPr>
        <sz val="7"/>
        <color theme="1"/>
        <rFont val="Times New Roman"/>
        <family val="1"/>
      </rPr>
      <t xml:space="preserve">      </t>
    </r>
    <r>
      <rPr>
        <sz val="12"/>
        <color theme="1"/>
        <rFont val="Times New Roman"/>
        <family val="1"/>
      </rPr>
      <t>Energy contract summary xlm file</t>
    </r>
  </si>
  <si>
    <t>Preparing the Counterparty Summary</t>
  </si>
  <si>
    <t>1. Open Schedule_A. Mmmmyyyy _newbuild.xlsm for the current month.</t>
  </si>
  <si>
    <t>2. Input the new data from Swap Viewer in first section</t>
  </si>
  <si>
    <r>
      <t>a.</t>
    </r>
    <r>
      <rPr>
        <sz val="7"/>
        <color theme="1"/>
        <rFont val="Times New Roman"/>
        <family val="1"/>
      </rPr>
      <t xml:space="preserve">       </t>
    </r>
    <r>
      <rPr>
        <sz val="12"/>
        <color theme="1"/>
        <rFont val="Times New Roman"/>
        <family val="1"/>
      </rPr>
      <t>For swaps, update the “Current Nominal Amount”, “Accrued Interest”, and “Termination Exposure” columns.</t>
    </r>
  </si>
  <si>
    <r>
      <t xml:space="preserve">                                                              </t>
    </r>
    <r>
      <rPr>
        <sz val="12"/>
        <color theme="1"/>
        <rFont val="Times New Roman"/>
        <family val="1"/>
      </rPr>
      <t>i.</t>
    </r>
    <r>
      <rPr>
        <sz val="7"/>
        <color theme="1"/>
        <rFont val="Times New Roman"/>
        <family val="1"/>
      </rPr>
      <t xml:space="preserve">      </t>
    </r>
    <r>
      <rPr>
        <sz val="12"/>
        <color theme="1"/>
        <rFont val="Times New Roman"/>
        <family val="1"/>
      </rPr>
      <t>Use the Board of Trustees Comprehensive Report.</t>
    </r>
  </si>
  <si>
    <r>
      <t>3.</t>
    </r>
    <r>
      <rPr>
        <sz val="7"/>
        <color theme="1"/>
        <rFont val="Times New Roman"/>
        <family val="1"/>
      </rPr>
      <t xml:space="preserve">      </t>
    </r>
    <r>
      <rPr>
        <sz val="12"/>
        <color theme="1"/>
        <rFont val="Times New Roman"/>
        <family val="1"/>
      </rPr>
      <t>All information is from the EnergySummary.Mmmmyyyy.xlm report into the second section of Schedule_A.</t>
    </r>
  </si>
  <si>
    <r>
      <t>4.</t>
    </r>
    <r>
      <rPr>
        <sz val="7"/>
        <color theme="1"/>
        <rFont val="Times New Roman"/>
        <family val="1"/>
      </rPr>
      <t xml:space="preserve">      </t>
    </r>
    <r>
      <rPr>
        <sz val="12"/>
        <color theme="1"/>
        <rFont val="Times New Roman"/>
        <family val="1"/>
      </rPr>
      <t>Update the Report-Table worksheet.</t>
    </r>
  </si>
  <si>
    <r>
      <t>a.</t>
    </r>
    <r>
      <rPr>
        <sz val="7"/>
        <color theme="1"/>
        <rFont val="Times New Roman"/>
        <family val="1"/>
      </rPr>
      <t xml:space="preserve">       </t>
    </r>
    <r>
      <rPr>
        <sz val="12"/>
        <color theme="1"/>
        <rFont val="Times New Roman"/>
        <family val="1"/>
      </rPr>
      <t>Change the PivotTable to access the new worksheet.</t>
    </r>
  </si>
  <si>
    <r>
      <t xml:space="preserve">                                                              </t>
    </r>
    <r>
      <rPr>
        <sz val="12"/>
        <color theme="1"/>
        <rFont val="Times New Roman"/>
        <family val="1"/>
      </rPr>
      <t>i.</t>
    </r>
    <r>
      <rPr>
        <sz val="7"/>
        <color theme="1"/>
        <rFont val="Times New Roman"/>
        <family val="1"/>
      </rPr>
      <t xml:space="preserve">      </t>
    </r>
    <r>
      <rPr>
        <sz val="12"/>
        <color theme="1"/>
        <rFont val="Times New Roman"/>
        <family val="1"/>
      </rPr>
      <t>Select the PivotTable.</t>
    </r>
  </si>
  <si>
    <r>
      <t xml:space="preserve">                                                            </t>
    </r>
    <r>
      <rPr>
        <sz val="12"/>
        <color theme="1"/>
        <rFont val="Times New Roman"/>
        <family val="1"/>
      </rPr>
      <t>ii.</t>
    </r>
    <r>
      <rPr>
        <sz val="7"/>
        <color theme="1"/>
        <rFont val="Times New Roman"/>
        <family val="1"/>
      </rPr>
      <t xml:space="preserve">      </t>
    </r>
    <r>
      <rPr>
        <sz val="12"/>
        <color theme="1"/>
        <rFont val="Times New Roman"/>
        <family val="1"/>
      </rPr>
      <t>Under the “Options” tab for the PivotTable, select “Change Source Data”.</t>
    </r>
  </si>
  <si>
    <r>
      <t xml:space="preserve">                                                          </t>
    </r>
    <r>
      <rPr>
        <sz val="12"/>
        <color theme="1"/>
        <rFont val="Times New Roman"/>
        <family val="1"/>
      </rPr>
      <t>iii.</t>
    </r>
    <r>
      <rPr>
        <sz val="7"/>
        <color theme="1"/>
        <rFont val="Times New Roman"/>
        <family val="1"/>
      </rPr>
      <t xml:space="preserve">      </t>
    </r>
    <r>
      <rPr>
        <sz val="12"/>
        <color theme="1"/>
        <rFont val="Times New Roman"/>
        <family val="1"/>
      </rPr>
      <t>Change the source data to the new worksheet.</t>
    </r>
  </si>
  <si>
    <r>
      <t xml:space="preserve">                                                          </t>
    </r>
    <r>
      <rPr>
        <sz val="12"/>
        <color theme="1"/>
        <rFont val="Times New Roman"/>
        <family val="1"/>
      </rPr>
      <t>iv.</t>
    </r>
    <r>
      <rPr>
        <sz val="7"/>
        <color theme="1"/>
        <rFont val="Times New Roman"/>
        <family val="1"/>
      </rPr>
      <t xml:space="preserve">      </t>
    </r>
    <r>
      <rPr>
        <sz val="12"/>
        <color theme="1"/>
        <rFont val="Times New Roman"/>
        <family val="1"/>
      </rPr>
      <t>On the PivotTable, change Report Date to the current month.</t>
    </r>
  </si>
  <si>
    <r>
      <t>5.</t>
    </r>
    <r>
      <rPr>
        <sz val="7"/>
        <color theme="1"/>
        <rFont val="Times New Roman"/>
        <family val="1"/>
      </rPr>
      <t xml:space="preserve">      </t>
    </r>
    <r>
      <rPr>
        <sz val="12"/>
        <color theme="1"/>
        <rFont val="Times New Roman"/>
        <family val="1"/>
      </rPr>
      <t>Update the Termination Charts</t>
    </r>
  </si>
  <si>
    <r>
      <t>a.</t>
    </r>
    <r>
      <rPr>
        <sz val="7"/>
        <color theme="1"/>
        <rFont val="Times New Roman"/>
        <family val="1"/>
      </rPr>
      <t xml:space="preserve">       </t>
    </r>
    <r>
      <rPr>
        <sz val="12"/>
        <color theme="1"/>
        <rFont val="Times New Roman"/>
        <family val="1"/>
      </rPr>
      <t>Update charts by right clicking, selecting ‘edit data’ and selecting uppermost data entry field.  This will move you directly to the ‘Chart Data’ tab where you now can maneuver the data field to include the current month and remove the oldest month in the series</t>
    </r>
  </si>
  <si>
    <r>
      <t>b.</t>
    </r>
    <r>
      <rPr>
        <sz val="7"/>
        <color theme="1"/>
        <rFont val="Times New Roman"/>
        <family val="1"/>
      </rPr>
      <t xml:space="preserve">      </t>
    </r>
    <r>
      <rPr>
        <sz val="12"/>
        <color theme="1"/>
        <rFont val="Times New Roman"/>
        <family val="1"/>
      </rPr>
      <t>If contracts are added or removed from the spreadsheet, the Termination Value table must be edited to reflect the new shape of the spreadsheet.</t>
    </r>
  </si>
  <si>
    <t>Preparing the Derivative Summary</t>
  </si>
  <si>
    <r>
      <t>1.</t>
    </r>
    <r>
      <rPr>
        <sz val="7"/>
        <color theme="1"/>
        <rFont val="Times New Roman"/>
        <family val="1"/>
      </rPr>
      <t xml:space="preserve">      </t>
    </r>
    <r>
      <rPr>
        <sz val="12"/>
        <color theme="1"/>
        <rFont val="Times New Roman"/>
        <family val="1"/>
      </rPr>
      <t>Open DerivativeSummary.Mmmmyyyy.docx for the current month.</t>
    </r>
  </si>
  <si>
    <r>
      <t>2.</t>
    </r>
    <r>
      <rPr>
        <sz val="7"/>
        <color theme="1"/>
        <rFont val="Times New Roman"/>
        <family val="1"/>
      </rPr>
      <t xml:space="preserve">      </t>
    </r>
    <r>
      <rPr>
        <sz val="12"/>
        <color theme="1"/>
        <rFont val="Times New Roman"/>
        <family val="1"/>
      </rPr>
      <t>Correct the dates throughout the document</t>
    </r>
  </si>
  <si>
    <r>
      <t>a.</t>
    </r>
    <r>
      <rPr>
        <sz val="7"/>
        <color theme="1"/>
        <rFont val="Times New Roman"/>
        <family val="1"/>
      </rPr>
      <t xml:space="preserve">       </t>
    </r>
    <r>
      <rPr>
        <sz val="12"/>
        <color theme="1"/>
        <rFont val="Times New Roman"/>
        <family val="1"/>
      </rPr>
      <t>Current Date (top-right corner of page one)</t>
    </r>
  </si>
  <si>
    <r>
      <t>b.</t>
    </r>
    <r>
      <rPr>
        <sz val="7"/>
        <color theme="1"/>
        <rFont val="Times New Roman"/>
        <family val="1"/>
      </rPr>
      <t xml:space="preserve">      </t>
    </r>
    <r>
      <rPr>
        <sz val="12"/>
        <color theme="1"/>
        <rFont val="Times New Roman"/>
        <family val="1"/>
      </rPr>
      <t>Reporting Date (underlined on top of page one)</t>
    </r>
  </si>
  <si>
    <r>
      <t>c.</t>
    </r>
    <r>
      <rPr>
        <sz val="7"/>
        <color theme="1"/>
        <rFont val="Times New Roman"/>
        <family val="1"/>
      </rPr>
      <t xml:space="preserve">       </t>
    </r>
    <r>
      <rPr>
        <sz val="12"/>
        <color theme="1"/>
        <rFont val="Times New Roman"/>
        <family val="1"/>
      </rPr>
      <t>Termination Exposure Date (top of page three)</t>
    </r>
  </si>
  <si>
    <r>
      <t>d.</t>
    </r>
    <r>
      <rPr>
        <sz val="7"/>
        <color theme="1"/>
        <rFont val="Times New Roman"/>
        <family val="1"/>
      </rPr>
      <t xml:space="preserve">      </t>
    </r>
    <r>
      <rPr>
        <sz val="12"/>
        <color theme="1"/>
        <rFont val="Times New Roman"/>
        <family val="1"/>
      </rPr>
      <t>Interest Rate Swap Date (first bullet of Termination Exposure)</t>
    </r>
  </si>
  <si>
    <r>
      <t>e.</t>
    </r>
    <r>
      <rPr>
        <sz val="7"/>
        <color theme="1"/>
        <rFont val="Times New Roman"/>
        <family val="1"/>
      </rPr>
      <t xml:space="preserve">       </t>
    </r>
    <r>
      <rPr>
        <sz val="12"/>
        <color theme="1"/>
        <rFont val="Times New Roman"/>
        <family val="1"/>
      </rPr>
      <t>NTE Conclusion Date (right after electric forward purchase agreements)</t>
    </r>
  </si>
  <si>
    <r>
      <t>3.</t>
    </r>
    <r>
      <rPr>
        <sz val="7"/>
        <color theme="1"/>
        <rFont val="Times New Roman"/>
        <family val="1"/>
      </rPr>
      <t xml:space="preserve">      </t>
    </r>
    <r>
      <rPr>
        <sz val="12"/>
        <color theme="1"/>
        <rFont val="Times New Roman"/>
        <family val="1"/>
      </rPr>
      <t>Update charts, graphs and tables throughout using the Counterparty Summary.</t>
    </r>
  </si>
  <si>
    <r>
      <t>a.</t>
    </r>
    <r>
      <rPr>
        <sz val="7"/>
        <color theme="1"/>
        <rFont val="Times New Roman"/>
        <family val="1"/>
      </rPr>
      <t xml:space="preserve">       </t>
    </r>
    <r>
      <rPr>
        <sz val="12"/>
        <color theme="1"/>
        <rFont val="Times New Roman"/>
        <family val="1"/>
      </rPr>
      <t>Counterparty Concentration pie chart (middle of page two)</t>
    </r>
  </si>
  <si>
    <r>
      <t>b.</t>
    </r>
    <r>
      <rPr>
        <sz val="7"/>
        <color theme="1"/>
        <rFont val="Times New Roman"/>
        <family val="1"/>
      </rPr>
      <t xml:space="preserve">      </t>
    </r>
    <r>
      <rPr>
        <sz val="12"/>
        <color theme="1"/>
        <rFont val="Times New Roman"/>
        <family val="1"/>
      </rPr>
      <t>NTE Interest Rate Swaps column graphs (middle of page three)</t>
    </r>
  </si>
  <si>
    <r>
      <t>c.</t>
    </r>
    <r>
      <rPr>
        <sz val="7"/>
        <color theme="1"/>
        <rFont val="Times New Roman"/>
        <family val="1"/>
      </rPr>
      <t xml:space="preserve">       </t>
    </r>
    <r>
      <rPr>
        <sz val="12"/>
        <color theme="1"/>
        <rFont val="Times New Roman"/>
        <family val="1"/>
      </rPr>
      <t>NTE Natural Gas forward purchase agreements column graph (top of page four)</t>
    </r>
  </si>
  <si>
    <r>
      <t>d.</t>
    </r>
    <r>
      <rPr>
        <sz val="7"/>
        <color theme="1"/>
        <rFont val="Times New Roman"/>
        <family val="1"/>
      </rPr>
      <t xml:space="preserve">      </t>
    </r>
    <r>
      <rPr>
        <sz val="12"/>
        <color theme="1"/>
        <rFont val="Times New Roman"/>
        <family val="1"/>
      </rPr>
      <t>NTE Electric forward purchase agreements column graph (middle of page four)</t>
    </r>
  </si>
  <si>
    <r>
      <t>e.</t>
    </r>
    <r>
      <rPr>
        <sz val="7"/>
        <color theme="1"/>
        <rFont val="Times New Roman"/>
        <family val="1"/>
      </rPr>
      <t xml:space="preserve">       </t>
    </r>
    <r>
      <rPr>
        <sz val="12"/>
        <color theme="1"/>
        <rFont val="Times New Roman"/>
        <family val="1"/>
      </rPr>
      <t>Total University NTE column graph (top of page 5)</t>
    </r>
  </si>
  <si>
    <r>
      <t>f.</t>
    </r>
    <r>
      <rPr>
        <sz val="7"/>
        <color theme="1"/>
        <rFont val="Times New Roman"/>
        <family val="1"/>
      </rPr>
      <t xml:space="preserve">       </t>
    </r>
    <r>
      <rPr>
        <sz val="12"/>
        <color theme="1"/>
        <rFont val="Times New Roman"/>
        <family val="1"/>
      </rPr>
      <t>Counterparty NTE table (middle of page 5)</t>
    </r>
  </si>
  <si>
    <r>
      <t xml:space="preserve">                                                              </t>
    </r>
    <r>
      <rPr>
        <sz val="12"/>
        <color theme="1"/>
        <rFont val="Times New Roman"/>
        <family val="1"/>
      </rPr>
      <t>i.</t>
    </r>
    <r>
      <rPr>
        <sz val="7"/>
        <color theme="1"/>
        <rFont val="Times New Roman"/>
        <family val="1"/>
      </rPr>
      <t xml:space="preserve">      </t>
    </r>
    <r>
      <rPr>
        <sz val="12"/>
        <color theme="1"/>
        <rFont val="Times New Roman"/>
        <family val="1"/>
      </rPr>
      <t>Change all Net Termination Exposures according to Counterparty Summary.</t>
    </r>
  </si>
  <si>
    <r>
      <t xml:space="preserve">                                                            </t>
    </r>
    <r>
      <rPr>
        <sz val="12"/>
        <color theme="1"/>
        <rFont val="Times New Roman"/>
        <family val="1"/>
      </rPr>
      <t>ii.</t>
    </r>
    <r>
      <rPr>
        <sz val="7"/>
        <color theme="1"/>
        <rFont val="Times New Roman"/>
        <family val="1"/>
      </rPr>
      <t xml:space="preserve">      </t>
    </r>
    <r>
      <rPr>
        <sz val="12"/>
        <color theme="1"/>
        <rFont val="Times New Roman"/>
        <family val="1"/>
      </rPr>
      <t>Verify all counterparty credit ratings.</t>
    </r>
  </si>
  <si>
    <r>
      <t>1.</t>
    </r>
    <r>
      <rPr>
        <sz val="7"/>
        <color theme="1"/>
        <rFont val="Times New Roman"/>
        <family val="1"/>
      </rPr>
      <t xml:space="preserve">      </t>
    </r>
    <r>
      <rPr>
        <sz val="12"/>
        <color theme="1"/>
        <rFont val="Times New Roman"/>
        <family val="1"/>
      </rPr>
      <t>Ratings changes should be mentioned under “Counterparty Financial Health”.</t>
    </r>
  </si>
  <si>
    <r>
      <t>4.</t>
    </r>
    <r>
      <rPr>
        <sz val="7"/>
        <color theme="1"/>
        <rFont val="Times New Roman"/>
        <family val="1"/>
      </rPr>
      <t xml:space="preserve">      </t>
    </r>
    <r>
      <rPr>
        <sz val="12"/>
        <color theme="1"/>
        <rFont val="Times New Roman"/>
        <family val="1"/>
      </rPr>
      <t>Update miscellaneous numerical data throughout the document.</t>
    </r>
  </si>
  <si>
    <r>
      <t>a.</t>
    </r>
    <r>
      <rPr>
        <sz val="7"/>
        <color theme="1"/>
        <rFont val="Times New Roman"/>
        <family val="1"/>
      </rPr>
      <t xml:space="preserve">       </t>
    </r>
    <r>
      <rPr>
        <sz val="12"/>
        <color theme="1"/>
        <rFont val="Times New Roman"/>
        <family val="1"/>
      </rPr>
      <t>Total notional value (middle of page one)</t>
    </r>
  </si>
  <si>
    <r>
      <t>b.</t>
    </r>
    <r>
      <rPr>
        <sz val="7"/>
        <color theme="1"/>
        <rFont val="Times New Roman"/>
        <family val="1"/>
      </rPr>
      <t xml:space="preserve">      </t>
    </r>
    <r>
      <rPr>
        <sz val="12"/>
        <color theme="1"/>
        <rFont val="Times New Roman"/>
        <family val="1"/>
      </rPr>
      <t>University hedging payout (last paragraph of “Status of University Risk Position and Outlook”)</t>
    </r>
  </si>
  <si>
    <r>
      <t>c.</t>
    </r>
    <r>
      <rPr>
        <sz val="7"/>
        <color theme="1"/>
        <rFont val="Times New Roman"/>
        <family val="1"/>
      </rPr>
      <t xml:space="preserve">       </t>
    </r>
    <r>
      <rPr>
        <sz val="12"/>
        <color theme="1"/>
        <rFont val="Times New Roman"/>
        <family val="1"/>
      </rPr>
      <t>Percentages and total value in the paragraph following the Counterparty Concentration pie chart</t>
    </r>
  </si>
  <si>
    <r>
      <t>d.</t>
    </r>
    <r>
      <rPr>
        <sz val="7"/>
        <color theme="1"/>
        <rFont val="Times New Roman"/>
        <family val="1"/>
      </rPr>
      <t xml:space="preserve">      </t>
    </r>
    <r>
      <rPr>
        <sz val="12"/>
        <color theme="1"/>
        <rFont val="Times New Roman"/>
        <family val="1"/>
      </rPr>
      <t>Total interest rate swap MTM (Interest Rate Swap bullet)</t>
    </r>
  </si>
  <si>
    <r>
      <t>e.</t>
    </r>
    <r>
      <rPr>
        <sz val="7"/>
        <color theme="1"/>
        <rFont val="Times New Roman"/>
        <family val="1"/>
      </rPr>
      <t xml:space="preserve">       </t>
    </r>
    <r>
      <rPr>
        <sz val="12"/>
        <color theme="1"/>
        <rFont val="Times New Roman"/>
        <family val="1"/>
      </rPr>
      <t>Natural Gas MTM (natural gas forward purchase agreement bullet)</t>
    </r>
  </si>
  <si>
    <r>
      <t>f.</t>
    </r>
    <r>
      <rPr>
        <sz val="7"/>
        <color theme="1"/>
        <rFont val="Times New Roman"/>
        <family val="1"/>
      </rPr>
      <t xml:space="preserve">       </t>
    </r>
    <r>
      <rPr>
        <sz val="12"/>
        <color theme="1"/>
        <rFont val="Times New Roman"/>
        <family val="1"/>
      </rPr>
      <t>Electric MTM (electric forward purchase agreement bullet)</t>
    </r>
  </si>
  <si>
    <r>
      <t>5.</t>
    </r>
    <r>
      <rPr>
        <sz val="7"/>
        <color theme="1"/>
        <rFont val="Times New Roman"/>
        <family val="1"/>
      </rPr>
      <t xml:space="preserve">      </t>
    </r>
    <r>
      <rPr>
        <sz val="12"/>
        <color theme="1"/>
        <rFont val="Times New Roman"/>
        <family val="1"/>
      </rPr>
      <t>Read the entire document to check for logical errors.</t>
    </r>
  </si>
  <si>
    <t>Adding New Months to Schedule_A ‘Chart Data’</t>
  </si>
  <si>
    <t>1. To insert new months into the chart data tab you must slide old months to right and copy to left.  Insert new tabs and copy over from previous month making sure to recopy formulas into columns L and M.  Select charts and then right click to call 'edit data' function</t>
  </si>
  <si>
    <t>2.  Select edit data on the left column and update the correct column letter in the pop up that shows the fixed reference for the data range that the charts will import from.</t>
  </si>
  <si>
    <t>3. Finally extend the Dataline series that drives the pivot table feature.  The section is labled ‘DO NOT CHANGE OR MOVE….’  Extend the series from the bottom.</t>
  </si>
  <si>
    <t>GasTerminationTotals</t>
  </si>
  <si>
    <t>ElectricTerminationTotals</t>
  </si>
  <si>
    <t>CurrencyTerminationTotals</t>
  </si>
  <si>
    <t>TravelX</t>
  </si>
  <si>
    <t xml:space="preserve"> $                            -  </t>
  </si>
  <si>
    <t>Natural Gas (Mult.)  FY2016</t>
  </si>
  <si>
    <t>Electricity (Mult.)  FY2016</t>
  </si>
  <si>
    <t>OLD FORMAT POINTER(DON"T REMOVE OR ENTRIE</t>
  </si>
  <si>
    <t>Month</t>
  </si>
  <si>
    <t>Exchange Rate                  ($ per €)</t>
  </si>
  <si>
    <t>Subtotal Nat Gas</t>
  </si>
  <si>
    <t>FX rate</t>
  </si>
  <si>
    <t>Morgan Stanley Capital Services Inc.</t>
  </si>
  <si>
    <t>JPMorgan Chase Bank, N.A.</t>
  </si>
  <si>
    <t>Loop Financial Products I LLC</t>
  </si>
  <si>
    <t>INPUT PAGE: No Manual Entry</t>
  </si>
  <si>
    <t>Bond Principal</t>
  </si>
  <si>
    <t>Current Hedge and Cost of Issuance Bonds</t>
  </si>
  <si>
    <t>COI</t>
  </si>
  <si>
    <t>Current MS</t>
  </si>
  <si>
    <t>Current JPM</t>
  </si>
  <si>
    <t>TOTAL MS</t>
  </si>
  <si>
    <t>OVERALL TOTAL</t>
  </si>
  <si>
    <t>LINKS INCOLOR</t>
  </si>
  <si>
    <t>Exel_S&amp;P</t>
  </si>
  <si>
    <t>Seq_S&amp;P</t>
  </si>
  <si>
    <t>WallStreetJournal_FX_Check</t>
  </si>
  <si>
    <t>Note: Refresh Data to Desired Month-</t>
  </si>
  <si>
    <t xml:space="preserve"> </t>
  </si>
  <si>
    <t>AEP_TerminationTotals</t>
  </si>
  <si>
    <t>Exc_TerminationTotals</t>
  </si>
  <si>
    <t>Exelon Generation</t>
  </si>
  <si>
    <t>Electricity_Aep</t>
  </si>
  <si>
    <t>Electricity_Exc</t>
  </si>
  <si>
    <t xml:space="preserve">Mark To Market Exposure </t>
  </si>
  <si>
    <t xml:space="preserve">Net Termination Exposure </t>
  </si>
  <si>
    <t>Electricity_TerminationTotals</t>
  </si>
  <si>
    <t>Expires</t>
  </si>
  <si>
    <t>A+ \ Aa3</t>
  </si>
  <si>
    <t>BBB+ \ Baa2</t>
  </si>
  <si>
    <t>BBB \ Baa2</t>
  </si>
  <si>
    <t>NR \ NR</t>
  </si>
  <si>
    <t>Bond Rating                    (S&amp;P / Moody's )</t>
  </si>
  <si>
    <t xml:space="preserve"> \ </t>
  </si>
  <si>
    <t>Subtotal Sequent Natural Gas</t>
  </si>
  <si>
    <t>Subtotal AEP Electricity</t>
  </si>
  <si>
    <t>Subtotal Exelon Electricity</t>
  </si>
  <si>
    <t>Subtotal Foreign Exchange Transactions</t>
  </si>
  <si>
    <t>Foreign Exchange Transactions</t>
  </si>
  <si>
    <t>Subtotal Morgan Stanley</t>
  </si>
  <si>
    <t>Natural Gas (Mult.)  FY2017</t>
  </si>
  <si>
    <t>Electricity (Mult.)  FY2017</t>
  </si>
  <si>
    <t>This update is now useless</t>
  </si>
  <si>
    <t>monthly manual update (energy summary worksheet)</t>
  </si>
  <si>
    <t>Univ Guarantee Limit</t>
  </si>
  <si>
    <t>A- \ Baa2</t>
  </si>
  <si>
    <t>A \ A2</t>
  </si>
  <si>
    <t>BBB+ \ Baa1</t>
  </si>
  <si>
    <t>BBB \ Baa1</t>
  </si>
  <si>
    <t>NRG Energy, Inc.</t>
  </si>
  <si>
    <t>Subtotal NRG Electricity</t>
  </si>
  <si>
    <t>Net Termination Exposure</t>
  </si>
  <si>
    <t>The University’s exposure to an individual counterparty is measured by Net Termination Exposure.</t>
  </si>
  <si>
    <t>University Total NTE (Including PEI)</t>
  </si>
  <si>
    <t>Interest Rate Swaps NTE</t>
  </si>
  <si>
    <t>Energy Commodity Transactions NTE</t>
  </si>
  <si>
    <t>Counterparty Concentration</t>
  </si>
  <si>
    <t>Counterparty Financial Health</t>
  </si>
  <si>
    <t xml:space="preserve">For purposes of this report, bond credit ratings are used as a proxy for counterparty financial strength.  </t>
  </si>
  <si>
    <t xml:space="preserve">The Policy sets forth limits on University exposure as a function of counterparty senior debt ratings, as follows:  </t>
  </si>
  <si>
    <t>Counterparty Credit Rating 
(S&amp;P / Moody's)</t>
  </si>
  <si>
    <t>AAA / Aaa Category</t>
  </si>
  <si>
    <t>$35 Million</t>
  </si>
  <si>
    <t>AA / Aa Category</t>
  </si>
  <si>
    <t>$30 Million</t>
  </si>
  <si>
    <t>A / A Category</t>
  </si>
  <si>
    <t>$20 Million</t>
  </si>
  <si>
    <t>BBB+ / Baal</t>
  </si>
  <si>
    <t>$10 Million</t>
  </si>
  <si>
    <t>Below BBB+ / Baal</t>
  </si>
  <si>
    <t>Net Term. Exposure *
(Millions)</t>
  </si>
  <si>
    <t>University Guarantee Limit
 (Millions)</t>
  </si>
  <si>
    <t>Bond Rating</t>
  </si>
  <si>
    <t>American Electric Power Service Corp.</t>
  </si>
  <si>
    <t>BBB / Baa1 **</t>
  </si>
  <si>
    <t>Unlimited</t>
  </si>
  <si>
    <t>BBB / Baa2 **</t>
  </si>
  <si>
    <t>JPMorgan Chase Bank N.A.</t>
  </si>
  <si>
    <t>N/A</t>
  </si>
  <si>
    <t>A+ / Aa3</t>
  </si>
  <si>
    <t>A / A2 **</t>
  </si>
  <si>
    <t>(Deutsche Bank AG)</t>
  </si>
  <si>
    <t>A- / Baa2</t>
  </si>
  <si>
    <t>BBB+ / Baa1 **</t>
  </si>
  <si>
    <t>(AGL Resources)</t>
  </si>
  <si>
    <t>*   Positive NTE means the University or PEI owes the counterparty.</t>
  </si>
  <si>
    <t>As of May 31, 2014</t>
  </si>
  <si>
    <t>Hedging Position Report</t>
  </si>
  <si>
    <r>
      <t xml:space="preserve">The total net-termination value of all </t>
    </r>
    <r>
      <rPr>
        <b/>
        <sz val="10"/>
        <color theme="1"/>
        <rFont val="Times New Roman"/>
        <family val="1"/>
      </rPr>
      <t>interest rate swaps</t>
    </r>
    <r>
      <rPr>
        <sz val="10"/>
        <color theme="1"/>
        <rFont val="Times New Roman"/>
        <family val="1"/>
      </rPr>
      <t xml:space="preserve"> is a $23.1 million payout due to the current interest rate environment.  If the </t>
    </r>
  </si>
  <si>
    <t xml:space="preserve">agreements were terminated as of May 31, 2014, the University would have an obligation to all counterparties except Sequent Energy </t>
  </si>
  <si>
    <t>Management, LP.</t>
  </si>
  <si>
    <t>NRG Engergy Inc.</t>
  </si>
  <si>
    <t>$0   Million</t>
  </si>
  <si>
    <t>** Parent or Guarantor bond credit rating.</t>
  </si>
  <si>
    <t>Maximum Net Termination Exposure - Net of Collateral
 (When Counterparty owes University/PEI)</t>
  </si>
  <si>
    <r>
      <t xml:space="preserve">The total net-termination value of </t>
    </r>
    <r>
      <rPr>
        <b/>
        <sz val="10"/>
        <color theme="1"/>
        <rFont val="Times New Roman"/>
        <family val="1"/>
      </rPr>
      <t>Sequent</t>
    </r>
    <r>
      <rPr>
        <sz val="10"/>
        <color theme="1"/>
        <rFont val="Times New Roman"/>
        <family val="1"/>
      </rPr>
      <t xml:space="preserve"> natural gas forward purchase agreements with PEI is a ($1.06) million payout due to the </t>
    </r>
  </si>
  <si>
    <t xml:space="preserve">current natural  gas market.  If the agreements were terminated as of April 30, 2014, Sequent would have an obligation to </t>
  </si>
  <si>
    <t>PEI/University.</t>
  </si>
  <si>
    <t xml:space="preserve">The NTE position of a $21.6 million payout for all outstanding agreements as of May 31, 2014 is expected given the current market </t>
  </si>
  <si>
    <t xml:space="preserve">environment.  </t>
  </si>
  <si>
    <t xml:space="preserve">contract value of $134.3 million; one swap alone represents approximately 52.1% of all current contract value. This large swap was </t>
  </si>
  <si>
    <t xml:space="preserve">executed  prior to the approval of the Policy and coincident with the related bond issue. </t>
  </si>
  <si>
    <t xml:space="preserve">Morgan Stanley is above the 50% limit with 62.4%. The University has two interest rate swaps with this counterparty with a total </t>
  </si>
  <si>
    <t>Total Financial Hedging</t>
  </si>
  <si>
    <t>Total Physical Hedging</t>
  </si>
  <si>
    <t>Financial</t>
  </si>
  <si>
    <t>Physical</t>
  </si>
  <si>
    <t>Total Hedging</t>
  </si>
  <si>
    <t>*Positive termination value means the University or PEI is obligated to the counterparty.</t>
  </si>
  <si>
    <t>Barclays Bank (LOC)</t>
  </si>
  <si>
    <t>AGL Resources (PCG)</t>
  </si>
  <si>
    <t xml:space="preserve">*Net Termination Exposure </t>
  </si>
  <si>
    <t>LOC - Letter of Credit provided</t>
  </si>
  <si>
    <t>PCG - Parental Company Guarantee provided</t>
  </si>
  <si>
    <t>Exelon Generation Company</t>
  </si>
  <si>
    <t>Beg. FY Contract Amount</t>
  </si>
  <si>
    <t>Market Value</t>
  </si>
  <si>
    <t xml:space="preserve"> University of Illinois Exposure (in millions)</t>
  </si>
  <si>
    <t>Univ Guaranteed Limit</t>
  </si>
  <si>
    <t xml:space="preserve">Total University </t>
  </si>
  <si>
    <t>NRG Power Marketing, LLC</t>
  </si>
  <si>
    <t>Interest Rate Swap</t>
  </si>
  <si>
    <t>Financial Hedging - University Interest Rate Swaps</t>
  </si>
  <si>
    <t>Physical Hedging - Prairieland Energy, Inc. Energy Commodity Transactions</t>
  </si>
  <si>
    <t>JPM</t>
  </si>
  <si>
    <t>LOOP</t>
  </si>
  <si>
    <t>Exelon</t>
  </si>
  <si>
    <t>Loop</t>
  </si>
  <si>
    <t>Concentration</t>
  </si>
  <si>
    <t>JP Morgan Chase Bank, N.A.</t>
  </si>
  <si>
    <t>Loop Financial Products, I, LLC</t>
  </si>
  <si>
    <t>Morgan Stanley Capital Services, Inc.</t>
  </si>
  <si>
    <t>UIC SC 2008</t>
  </si>
  <si>
    <t>Financial Hedges NTE</t>
  </si>
  <si>
    <t>Total Hedges NTE</t>
  </si>
  <si>
    <t>LOC</t>
  </si>
  <si>
    <t>CSP - Credit Support Provider</t>
  </si>
  <si>
    <t>Exelon Generation Company LLC</t>
  </si>
  <si>
    <t>Shell Energy North America (US), L.P.</t>
  </si>
  <si>
    <t>Shell</t>
  </si>
  <si>
    <t>GRAND TOTAL</t>
  </si>
  <si>
    <t>Credit Assurance</t>
  </si>
  <si>
    <t>WR - Withdrawn Rating</t>
  </si>
  <si>
    <t>TransAlta</t>
  </si>
  <si>
    <t>BP Canada Energy Marketing Corp.</t>
  </si>
  <si>
    <t>BP</t>
  </si>
  <si>
    <t>TransAlta Energy Marketing (US) Inc.</t>
  </si>
  <si>
    <t>Adequate Assurance</t>
  </si>
  <si>
    <t>check</t>
  </si>
  <si>
    <t>Deutsche Bank AG (CSP)</t>
  </si>
  <si>
    <t>InterContinental Exchange (ICE)</t>
  </si>
  <si>
    <t>Energy Physical and Financial Hedges NTE</t>
  </si>
  <si>
    <t xml:space="preserve">
Bond Rating
(S&amp;P / Moody's)</t>
  </si>
  <si>
    <t xml:space="preserve">DO TABLES FIRST - </t>
  </si>
  <si>
    <t>SUBTOTAL SWAPS</t>
  </si>
  <si>
    <t>SUBTOTAL FINANCIAL</t>
  </si>
  <si>
    <t>Rail Splitter Wind Farm LLC</t>
  </si>
  <si>
    <t>Rail Splitter</t>
  </si>
  <si>
    <t>*Negative termination value means the System or PEI is obligated to the counterparty (transaction is "underwater").</t>
  </si>
  <si>
    <t>EDF Energy Svcs</t>
  </si>
  <si>
    <t>EDF Energy Services, LLC</t>
  </si>
  <si>
    <t>EDF Trading Limited (PCG)</t>
  </si>
  <si>
    <t>HSBC Bank USA, (LOC)</t>
  </si>
  <si>
    <t>NR / Baa2</t>
  </si>
  <si>
    <t>Rating Triggers</t>
  </si>
  <si>
    <t>Counterparty Threshold (Collateral Requirements)</t>
  </si>
  <si>
    <t>SO Utilities Admin</t>
  </si>
  <si>
    <t>Direct Energy</t>
  </si>
  <si>
    <t>BP Corporation North America, Inc. (PCG)</t>
  </si>
  <si>
    <t>Summary discussion of the status of University Derivative risk position and outlook.</t>
  </si>
  <si>
    <t>Summary of derivative contracts, including total notional value, grouped by University department.</t>
  </si>
  <si>
    <t>Material events since last report for each counterparty.</t>
  </si>
  <si>
    <t>Profile of NTE, credit limit and credit rating by counterparty.</t>
  </si>
  <si>
    <t>Termination value for each transaction.</t>
  </si>
  <si>
    <t>Summary market value.</t>
  </si>
  <si>
    <t>Noted exceptions to Section 10, Counterparty Risk Exposure (Qualified Counterparties)</t>
  </si>
  <si>
    <t>Derivatives Use Policy - Section 12 Management and Reporting</t>
  </si>
  <si>
    <t>The office of Enterprise Risk Management shall be charged with aggregating the monthly reports and shall submit a summary report to the Board no less frequently than once per quarter.  The report shall include the following:</t>
  </si>
  <si>
    <t>Summary of collateral held by the University on behalf of each counterparty and collateral held by each counterparty on behalf of the University.</t>
  </si>
  <si>
    <t>Expires
FY Range</t>
  </si>
  <si>
    <t>Rating Triggers
Predate Policy</t>
  </si>
  <si>
    <t>Rating Triggers Predate Policy</t>
  </si>
  <si>
    <t>Rail Splitter Wind (HSBC Bank LOC)</t>
  </si>
  <si>
    <t>Direct Energy Business Marketing</t>
  </si>
  <si>
    <t>A+ / Aa2</t>
  </si>
  <si>
    <r>
      <t xml:space="preserve">Physical Hedges 
</t>
    </r>
    <r>
      <rPr>
        <b/>
        <sz val="11"/>
        <color theme="1"/>
        <rFont val="Arial"/>
        <family val="2"/>
      </rPr>
      <t>PEI Energy Forward Purchases</t>
    </r>
  </si>
  <si>
    <t>PEI Energy Futures Contracts</t>
  </si>
  <si>
    <t>Electricity Renewable</t>
  </si>
  <si>
    <t>SO Capital Financing</t>
  </si>
  <si>
    <t>Collateral Held by Counterparty on behalf of PEI:</t>
  </si>
  <si>
    <t>Collateral Held by PEI on behalf of Counterparties:</t>
  </si>
  <si>
    <t>Current Notional / Contract</t>
  </si>
  <si>
    <t>PCG - Parental Company Guarantee</t>
  </si>
  <si>
    <t>LOC - Letter of Credit</t>
  </si>
  <si>
    <t>NTE - Net Termination Exposure</t>
  </si>
  <si>
    <t>NTE</t>
  </si>
  <si>
    <t>CSP
Rated Entity/
Exchange</t>
  </si>
  <si>
    <t>Orig Contract</t>
  </si>
  <si>
    <t xml:space="preserve">
Market Value</t>
  </si>
  <si>
    <t>----------------------------------------In Millions----------------------------------------</t>
  </si>
  <si>
    <t>System Guarantee  (Credit Limit)</t>
  </si>
  <si>
    <t xml:space="preserve">PCG - LOC  (Credit Limit) </t>
  </si>
  <si>
    <t>PEI - Prairieland Energy Inc.</t>
  </si>
  <si>
    <t>Collateral Summary</t>
  </si>
  <si>
    <t>Material Events Since Last Report</t>
  </si>
  <si>
    <t>Total NTE Derivative Agreements</t>
  </si>
  <si>
    <t>SO - System Offices</t>
  </si>
  <si>
    <t>Notional</t>
  </si>
  <si>
    <t>CP Rating Qualification Met</t>
  </si>
  <si>
    <t>Yes</t>
  </si>
  <si>
    <t>Under CP Concentration Limits</t>
  </si>
  <si>
    <r>
      <t xml:space="preserve">Hedging Position Summary 
</t>
    </r>
    <r>
      <rPr>
        <b/>
        <sz val="10"/>
        <color theme="0"/>
        <rFont val="Arial"/>
        <family val="2"/>
      </rPr>
      <t>(In Millions)</t>
    </r>
  </si>
  <si>
    <t>Policy Counterparty (CP) Requirements</t>
  </si>
  <si>
    <t>$</t>
  </si>
  <si>
    <t>Collateral Requirements of Counterparties / Thresholds</t>
  </si>
  <si>
    <t xml:space="preserve">                                               The Policy          The PEI Policy</t>
  </si>
  <si>
    <t>Counterparty Credit Rating
S&amp;P / Moody's</t>
  </si>
  <si>
    <t>Maximum NTE - Net of Collateral
FINANCIAL</t>
  </si>
  <si>
    <t>Maximum NTE - Net of Collateral
PHYSICAL</t>
  </si>
  <si>
    <t>Maximum NTE - Net of Collateral</t>
  </si>
  <si>
    <t>$35 million</t>
  </si>
  <si>
    <t>$30 million</t>
  </si>
  <si>
    <t>A / A2 and above</t>
  </si>
  <si>
    <t>Infinite</t>
  </si>
  <si>
    <t>$20 million</t>
  </si>
  <si>
    <t>A- / A3</t>
  </si>
  <si>
    <t>$10 million</t>
  </si>
  <si>
    <t>BBB+ / Baa1 or Below</t>
  </si>
  <si>
    <t>$0 million</t>
  </si>
  <si>
    <t>///////////////////////</t>
  </si>
  <si>
    <t>BBB/Baa Category</t>
  </si>
  <si>
    <t>BB+/Ba1 or Below</t>
  </si>
  <si>
    <r>
      <rPr>
        <vertAlign val="superscript"/>
        <sz val="11"/>
        <color theme="1"/>
        <rFont val="Times New Roman"/>
        <family val="1"/>
      </rPr>
      <t>1</t>
    </r>
    <r>
      <rPr>
        <sz val="11"/>
        <color theme="1"/>
        <rFont val="Times New Roman"/>
        <family val="1"/>
      </rPr>
      <t>Items reflected in the Material Events section relate to the Policy requirements and may not conform to material events for financial reporting.</t>
    </r>
  </si>
  <si>
    <t>(1)  If NTE exposure on the Loop interest rate swap moves to positive, and Loop's credit ratings are both below A, we would require the CP to post collateral.</t>
  </si>
  <si>
    <t>CP - Counterparty</t>
  </si>
  <si>
    <t>Reporting Requirements Met</t>
  </si>
  <si>
    <t xml:space="preserve">
LOC</t>
  </si>
  <si>
    <t>The Bank of Nova Scotia (LOC)</t>
  </si>
  <si>
    <t>TransAlta (Bank of Nova Scotia LOC)</t>
  </si>
  <si>
    <t>Solar PPAs</t>
  </si>
  <si>
    <t>PPA - Power Purchase Agreement</t>
  </si>
  <si>
    <t>Phoenix Solar SF</t>
  </si>
  <si>
    <r>
      <t>Phoenix Solar South Farms</t>
    </r>
    <r>
      <rPr>
        <vertAlign val="superscript"/>
        <sz val="11"/>
        <color theme="1"/>
        <rFont val="Arial"/>
        <family val="2"/>
      </rPr>
      <t>(2)</t>
    </r>
  </si>
  <si>
    <t xml:space="preserve">(2)  In Dec 2015, UIUC issued a Power Purchase Agreement (PPA) in conjunction with their Solar Farm I.  ERM learned of the PPA in July 2019 and began reporting the derivative Oct 2019.  Since there is no CP risk, a policy exception was approved by the CFO for (a) minimum counterparty credit rating requirement, (b) required parental guarantee or LOC, and (c) minimum market capitalization requirement. </t>
  </si>
  <si>
    <t>Morgan Stanley Capital Group, Inc.</t>
  </si>
  <si>
    <r>
      <t xml:space="preserve">Yes </t>
    </r>
    <r>
      <rPr>
        <vertAlign val="superscript"/>
        <sz val="10"/>
        <color theme="1"/>
        <rFont val="Arial"/>
        <family val="2"/>
      </rPr>
      <t>(2) (3) (4)</t>
    </r>
  </si>
  <si>
    <r>
      <t xml:space="preserve">Yes </t>
    </r>
    <r>
      <rPr>
        <vertAlign val="superscript"/>
        <sz val="10"/>
        <color theme="1"/>
        <rFont val="Arial"/>
        <family val="2"/>
      </rPr>
      <t>(1) (2)</t>
    </r>
  </si>
  <si>
    <t xml:space="preserve">SUBTOTAL PHYSICALS  </t>
  </si>
  <si>
    <t>Morgan Stanley (PCG)</t>
  </si>
  <si>
    <t>System</t>
  </si>
  <si>
    <t>Date</t>
  </si>
  <si>
    <t>Outlook</t>
  </si>
  <si>
    <t>AFS</t>
  </si>
  <si>
    <t>Stable</t>
  </si>
  <si>
    <t>COPS</t>
  </si>
  <si>
    <t>South Campus</t>
  </si>
  <si>
    <t>HSFS</t>
  </si>
  <si>
    <t>Lease Revenue Bonds</t>
  </si>
  <si>
    <t>State of IL GO</t>
  </si>
  <si>
    <t>Futures Contracts, Financial</t>
  </si>
  <si>
    <t>None Exchange Traded</t>
  </si>
  <si>
    <t>Footnotes:</t>
  </si>
  <si>
    <t>End Print Range:  Below tables feed graphs</t>
  </si>
  <si>
    <t>Responsible Unit/Dept.</t>
  </si>
  <si>
    <t>American Electric Power Co, Inc.</t>
  </si>
  <si>
    <t>2023 - 2024</t>
  </si>
  <si>
    <t>AEP Energy Partners Inc.</t>
  </si>
  <si>
    <t>BBB+ / A1</t>
  </si>
  <si>
    <t>BBB- / Baa2</t>
  </si>
  <si>
    <t>A / A2</t>
  </si>
  <si>
    <t>UIUC Energy Services - SF1</t>
  </si>
  <si>
    <t>SO Utilities Admin - SF2</t>
  </si>
  <si>
    <t>2/2021 - 2/2041</t>
  </si>
  <si>
    <t>Commonwealth Bank of Australia (LOC)
CD Clean Energy and Infrastructure (PCG)</t>
  </si>
  <si>
    <t xml:space="preserve">AA- / Aa2
NR   NR
</t>
  </si>
  <si>
    <r>
      <t xml:space="preserve">Northern Cardinal Solar SCS IL 1, LLC </t>
    </r>
    <r>
      <rPr>
        <vertAlign val="superscript"/>
        <sz val="11"/>
        <color theme="1"/>
        <rFont val="Arial"/>
        <family val="2"/>
      </rPr>
      <t>(4)</t>
    </r>
  </si>
  <si>
    <t>SUBTOTAL  SOLAR PPAs</t>
  </si>
  <si>
    <t>(3)  Policy exceptions approved by the CFO for PEI include less restrictive CP credit rating for forward purchases and corresponding collateral requirements.  For physical transactions, allows for unrated CP to qualify with LOC.</t>
  </si>
  <si>
    <t>(4)  On 10/3/19, an Exception for Urbana Solar Farm 2.0 was approved by the PEI Treasurer qualifying Northern Cardinal Solar (NCS) as CP who was assigned the PPA from Sol Systems.  Also qualified Capital Dynamics Clean Energy &amp; Infrastructure as guarantor for NCS.  Exception also approved, as allowed in the PPA, any unrated successor guarantor to qualify with $100 million in tangible net worth.  Contract term to 2/2041.</t>
  </si>
  <si>
    <t>Northern Cardinal Solar</t>
  </si>
  <si>
    <t>AEP</t>
  </si>
  <si>
    <t>Check to top</t>
  </si>
  <si>
    <t>StoneX Financial Inc.</t>
  </si>
  <si>
    <t>2023-2027</t>
  </si>
  <si>
    <t>LOC, $0.5M</t>
  </si>
  <si>
    <t>Direct Energy (Deutsche Bank NY LOC)</t>
  </si>
  <si>
    <r>
      <t>Northern Cardinal</t>
    </r>
    <r>
      <rPr>
        <sz val="12"/>
        <color theme="1"/>
        <rFont val="Arial"/>
        <family val="2"/>
      </rPr>
      <t xml:space="preserve"> </t>
    </r>
    <r>
      <rPr>
        <sz val="9.5"/>
        <color theme="1"/>
        <rFont val="Arial"/>
        <family val="2"/>
      </rPr>
      <t>(Common Wealth Bank Australia LOC)</t>
    </r>
  </si>
  <si>
    <t>Deutsche Bank AG, NY Branch (LOC)</t>
  </si>
  <si>
    <t>Margin Exposure on Futures</t>
  </si>
  <si>
    <t>2022-2028</t>
  </si>
  <si>
    <t>2022-2025</t>
  </si>
  <si>
    <t>2022-2024</t>
  </si>
  <si>
    <t>2022-2023</t>
  </si>
  <si>
    <t>2022-2027</t>
  </si>
  <si>
    <t>StoneX</t>
  </si>
  <si>
    <t>*MTM or NTE (5)</t>
  </si>
  <si>
    <t>(5)  Contracted hedge prices on gas and electricity are favorable to current market prices.  Natural gas market prices are higher due to an increase in exports and domestic consumption. Electricity prices are higher due to an increase in demand, and generation costs from higher natural gas prices.</t>
  </si>
  <si>
    <t>Is a guarantee a form of collateral?</t>
  </si>
  <si>
    <r>
      <t>Guarantee vs collateral — what's the difference? A personal guarantee is a signed document that promises to repay back a loan in the event that your business defaults. </t>
    </r>
    <r>
      <rPr>
        <b/>
        <sz val="9"/>
        <color rgb="FF202124"/>
        <rFont val="Roboto"/>
      </rPr>
      <t>Collateral is a good or an owned asset that you use toward loan security in the event that</t>
    </r>
    <r>
      <rPr>
        <sz val="9"/>
        <color rgb="FF202124"/>
        <rFont val="Roboto"/>
      </rPr>
      <t> your business defaults.</t>
    </r>
  </si>
  <si>
    <r>
      <t>Guarantees of parent, subsidiaries, or affiliated companies and/or secured guarantees may also be required. Rural Development is not a co-guarantor with the personal or corporate guarantors. The </t>
    </r>
    <r>
      <rPr>
        <b/>
        <sz val="10"/>
        <color rgb="FF202124"/>
        <rFont val="Roboto"/>
      </rPr>
      <t>personal and corporate guarantees are part of the collateral for the loan</t>
    </r>
    <r>
      <rPr>
        <sz val="10"/>
        <color rgb="FF202124"/>
        <rFont val="Roboto"/>
      </rPr>
      <t>.</t>
    </r>
  </si>
  <si>
    <t>FOR NOW WE DO NOT ACCEPT PCG AS COLLATERAL, ONLY CREDIT SUPPORT TO QUALIFY A CP</t>
  </si>
  <si>
    <r>
      <t>The energy industry necessitated action by the PEI Board of Directors to approve a policy accepting a lower credit rating than the System policy to qualify CPs for physical hedges (forward purchases).  This exception has been approved by the U of I System CFO in accordance with the University Policy.</t>
    </r>
    <r>
      <rPr>
        <vertAlign val="superscript"/>
        <sz val="10.5"/>
        <color theme="1"/>
        <rFont val="Arial"/>
        <family val="2"/>
      </rPr>
      <t xml:space="preserve">(3)  </t>
    </r>
    <r>
      <rPr>
        <sz val="10.5"/>
        <color theme="1"/>
        <rFont val="Arial"/>
        <family val="2"/>
      </rPr>
      <t>Rail Splitter is not rated but has provided a $2.5 million LOC from HSBC Bank.  TransAlta's rating declined below acceptable limits so they have provided a $25,000 LOC from the Bank of Nova Scotia to meet policy qualifications. Direct Energy provided LOC from Deusche Bank AG for $2.5 million. Northern Cardinal is not rated but have PCG, LOC, and approved qualification exception.</t>
    </r>
    <r>
      <rPr>
        <vertAlign val="superscript"/>
        <sz val="10.5"/>
        <color theme="1"/>
        <rFont val="Arial"/>
        <family val="2"/>
      </rPr>
      <t>(4)</t>
    </r>
    <r>
      <rPr>
        <sz val="10.5"/>
        <color theme="1"/>
        <rFont val="Arial"/>
        <family val="2"/>
      </rPr>
      <t xml:space="preserve">
The System and PEI policies require regular due diligence reviews of the financial strength of CPs. It is the responsibility of the hedging transaction originator, System department or PEI, to review the related CPs regularly in compliance with policy. </t>
    </r>
  </si>
  <si>
    <r>
      <t xml:space="preserve">Yes </t>
    </r>
    <r>
      <rPr>
        <vertAlign val="superscript"/>
        <sz val="10"/>
        <color theme="1"/>
        <rFont val="Arial"/>
        <family val="2"/>
      </rPr>
      <t>(3)</t>
    </r>
    <r>
      <rPr>
        <sz val="10"/>
        <color theme="1"/>
        <rFont val="Arial"/>
        <family val="2"/>
      </rPr>
      <t xml:space="preserve"> </t>
    </r>
    <r>
      <rPr>
        <vertAlign val="superscript"/>
        <sz val="10"/>
        <color theme="1"/>
        <rFont val="Arial"/>
        <family val="2"/>
      </rPr>
      <t>(6)</t>
    </r>
  </si>
  <si>
    <r>
      <t xml:space="preserve">Counterparty (CP) Qualification Risk Management </t>
    </r>
    <r>
      <rPr>
        <b/>
        <vertAlign val="superscript"/>
        <sz val="12"/>
        <color theme="0"/>
        <rFont val="Arial"/>
        <family val="2"/>
      </rPr>
      <t>(3) (4)</t>
    </r>
  </si>
  <si>
    <r>
      <t>Exposure to a CP is determined by NTE value net of collateral and is limited based on CP credit rating. The PEI policy accepts a higher exposure limit on the BBB/Baa category than the university Policy; an approved policy exception.</t>
    </r>
    <r>
      <rPr>
        <vertAlign val="superscript"/>
        <sz val="10.5"/>
        <color theme="1"/>
        <rFont val="Arial"/>
        <family val="2"/>
      </rPr>
      <t>(3) (6)</t>
    </r>
    <r>
      <rPr>
        <sz val="10.5"/>
        <color theme="1"/>
        <rFont val="Arial"/>
        <family val="2"/>
      </rPr>
      <t xml:space="preserve"> 
Exelon, BP, EDF, and AEP provide recourse through Credit or Adequate Assurances provisions if reasonable grounds exist regarding unsatisfactory creditworthiness or performance.  It is incumbent upon PEI to monitor and request Performance Assurance if a rating change triggers the policy collateral requirements.
The swap agreements were approved by the Board of Trustees and executed prior to the policy. The collateral requirements for counterparties on the interest rate swaps are more risk tolerant than the System policy, however the current NTE exposure amounts are all within Policy limits.
</t>
    </r>
  </si>
  <si>
    <r>
      <t>Solar PPAs</t>
    </r>
    <r>
      <rPr>
        <vertAlign val="superscript"/>
        <sz val="11"/>
        <color theme="1"/>
        <rFont val="Arial"/>
        <family val="2"/>
      </rPr>
      <t xml:space="preserve"> (2) (4)</t>
    </r>
  </si>
  <si>
    <r>
      <t xml:space="preserve">Forward Purchase, Physical </t>
    </r>
    <r>
      <rPr>
        <vertAlign val="superscript"/>
        <sz val="11"/>
        <color theme="1"/>
        <rFont val="Arial"/>
        <family val="2"/>
      </rPr>
      <t>(5)</t>
    </r>
  </si>
  <si>
    <r>
      <t xml:space="preserve">Counterparty (CP) NTE Risk Management </t>
    </r>
    <r>
      <rPr>
        <b/>
        <vertAlign val="superscript"/>
        <sz val="12"/>
        <color theme="0"/>
        <rFont val="Arial"/>
        <family val="2"/>
      </rPr>
      <t>(3) (6)</t>
    </r>
  </si>
  <si>
    <t>Within CP NTE Limits</t>
  </si>
  <si>
    <t>(1)  Policy exceptions approved by the CFO for Agriculture Property Services (APS) forward grain sales include release from counterparty credit rating, contract form, and monthly reporting requirements.  APS reported $128,267 in outstanding forward sales contracts as of 11/30/2021.</t>
  </si>
  <si>
    <t>A- / A2</t>
  </si>
  <si>
    <t>Positive</t>
  </si>
  <si>
    <t>(6) Exposure to a CP is determined by the NTE value net of collateral and limited based on CP credit rating.  The PEI policy accepts $10M exposure on BBB/Baa category versus the University policy limit of $0 on the same rating category.  The PEI exposure limit difference to the university policy is an approved policy exception.   Increased market prices on energy commodities have resulted in several "in the money" or positive NTE values.  Those CPs in the BBB/Baa category that exceed the University policy exposure limit but are still within the PEI limit include:  EDF $2.08M, Morgan Stanley $4.48M, and AEP $0.13M.</t>
  </si>
  <si>
    <t xml:space="preserve">The long term rating for Deutsche Bank, the guarantor of Loop on the HSFS 2008 swap and Direct Energy Business energy forward purchase, was upgraded by S&amp;P to ‘A-‘ from ‘BBB+’ on 11/9/2021, stable outlook.
S&amp;P upgraded Intercontinental Exchange, Inc. to A- from BBB+ 11/29/21, stable outlook.
PEI purchased 70,000 MMBTU's of Natural Gas Forward Contracts for UIUC from BP totaling $333,200 for periods 1/1/22 - 3/31/22.
</t>
  </si>
  <si>
    <r>
      <t xml:space="preserve">Financial Hedges
</t>
    </r>
    <r>
      <rPr>
        <b/>
        <sz val="11"/>
        <color theme="1"/>
        <rFont val="Arial"/>
        <family val="2"/>
      </rPr>
      <t>System Interest Rate Swaps</t>
    </r>
  </si>
  <si>
    <r>
      <rPr>
        <b/>
        <vertAlign val="superscript"/>
        <sz val="10"/>
        <color theme="1"/>
        <rFont val="Arial"/>
        <family val="2"/>
      </rPr>
      <t>3</t>
    </r>
    <r>
      <rPr>
        <b/>
        <sz val="10"/>
        <color theme="1"/>
        <rFont val="Arial"/>
        <family val="2"/>
      </rPr>
      <t>Qualifying Rating (BBB-/Baa3 or BB+/Ba1 with LOC or PCG)</t>
    </r>
  </si>
  <si>
    <t>Qualifying Rating (A- / A3)</t>
  </si>
  <si>
    <t>Reported to the Board of Trustees
September 23,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</si>
</sst>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_(&quot;$&quot;* #,##0.0_);_(&quot;$&quot;* \(#,##0.0\);_(&quot;$&quot;* &quot;-&quot;??_);_(@_)"/>
    <numFmt numFmtId="165" formatCode="_(&quot;$&quot;* #,##0_);_(&quot;$&quot;* \(#,##0\);_(&quot;$&quot;* &quot;-&quot;??_);_(@_)"/>
    <numFmt numFmtId="166" formatCode="0.000%"/>
    <numFmt numFmtId="167" formatCode="0.0000"/>
    <numFmt numFmtId="168" formatCode="0.0000000%"/>
    <numFmt numFmtId="169" formatCode="m/d/yy;@"/>
    <numFmt numFmtId="170" formatCode="mmmm\ yyyy"/>
    <numFmt numFmtId="171" formatCode="_(&quot;$&quot;* #,##0.00000_);_(&quot;$&quot;* \(#,##0.00000\);_(&quot;$&quot;* &quot;-&quot;??_);_(@_)"/>
    <numFmt numFmtId="172" formatCode="&quot;$&quot;#,##0.00"/>
    <numFmt numFmtId="173" formatCode="_(&quot;$&quot;* #,##0.000000_);_(&quot;$&quot;* \(#,##0.000000\);_(&quot;$&quot;* &quot;-&quot;??_);_(@_)"/>
    <numFmt numFmtId="174" formatCode="[$€-2]\ #,##0.00"/>
    <numFmt numFmtId="175" formatCode="[$€-2]\ #,##0.0000"/>
    <numFmt numFmtId="176" formatCode="_(&quot;$&quot;* #,##0.000_);_(&quot;$&quot;* \(#,##0.000\);_(&quot;$&quot;* &quot;-&quot;??_);_(@_)"/>
    <numFmt numFmtId="177" formatCode="_(&quot;$&quot;* #,##0.0000_);_(&quot;$&quot;* \(#,##0.0000\);_(&quot;$&quot;* &quot;-&quot;??_);_(@_)"/>
    <numFmt numFmtId="178" formatCode="[$-409]mmm\-yy;@"/>
    <numFmt numFmtId="179" formatCode="0.0%"/>
    <numFmt numFmtId="180" formatCode="[$-409]mmmm\-yyyy;@"/>
    <numFmt numFmtId="181" formatCode="mmmyy"/>
    <numFmt numFmtId="182" formatCode="_(* #,##0.000000_);_(* \(#,##0.000000\);_(* &quot;-&quot;??_);_(@_)"/>
    <numFmt numFmtId="183" formatCode="#,##0.000_);[Red]\(#,##0.000\)"/>
    <numFmt numFmtId="184" formatCode="#,##0.000000000000000_);[Red]\(#,##0.000000000000000\)"/>
  </numFmts>
  <fonts count="150"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rgb="FF006100"/>
      <name val="Arial"/>
      <family val="2"/>
    </font>
    <font>
      <sz val="10"/>
      <color rgb="FF9C6500"/>
      <name val="Arial"/>
      <family val="2"/>
    </font>
    <font>
      <sz val="10"/>
      <color theme="0"/>
      <name val="Arial"/>
      <family val="2"/>
    </font>
    <font>
      <b/>
      <sz val="12"/>
      <color theme="1"/>
      <name val="Arial"/>
      <family val="2"/>
    </font>
    <font>
      <b/>
      <sz val="10"/>
      <color theme="1"/>
      <name val="Arial"/>
      <family val="2"/>
    </font>
    <font>
      <sz val="10"/>
      <color rgb="FF000000"/>
      <name val="Arial"/>
      <family val="2"/>
    </font>
    <font>
      <b/>
      <sz val="10"/>
      <name val="Arial"/>
      <family val="2"/>
    </font>
    <font>
      <b/>
      <sz val="10"/>
      <color rgb="FFFF0000"/>
      <name val="Arial"/>
      <family val="2"/>
    </font>
    <font>
      <u val="singleAccounting"/>
      <sz val="10"/>
      <color theme="1"/>
      <name val="Arial"/>
      <family val="2"/>
    </font>
    <font>
      <u val="doubleAccounting"/>
      <sz val="10"/>
      <color theme="1"/>
      <name val="Arial"/>
      <family val="2"/>
    </font>
    <font>
      <sz val="10"/>
      <color rgb="FFFF0000"/>
      <name val="Arial"/>
      <family val="2"/>
    </font>
    <font>
      <b/>
      <sz val="10"/>
      <color theme="9" tint="-0.499984740745262"/>
      <name val="Arial"/>
      <family val="2"/>
    </font>
    <font>
      <b/>
      <u/>
      <sz val="10"/>
      <color theme="1"/>
      <name val="Arial"/>
      <family val="2"/>
    </font>
    <font>
      <i/>
      <sz val="10"/>
      <color theme="1"/>
      <name val="Arial"/>
      <family val="2"/>
    </font>
    <font>
      <b/>
      <sz val="12"/>
      <color theme="0"/>
      <name val="Tahoma"/>
      <family val="2"/>
    </font>
    <font>
      <sz val="12"/>
      <color theme="1"/>
      <name val="Tahoma"/>
      <family val="2"/>
    </font>
    <font>
      <b/>
      <sz val="12"/>
      <color theme="3" tint="0.39997558519241921"/>
      <name val="Tahoma"/>
      <family val="2"/>
    </font>
    <font>
      <b/>
      <sz val="14"/>
      <name val="Tahoma"/>
      <family val="2"/>
    </font>
    <font>
      <b/>
      <sz val="12"/>
      <color theme="1"/>
      <name val="Tahoma"/>
      <family val="2"/>
    </font>
    <font>
      <u val="singleAccounting"/>
      <sz val="12"/>
      <color theme="1"/>
      <name val="Tahoma"/>
      <family val="2"/>
    </font>
    <font>
      <b/>
      <u/>
      <sz val="12"/>
      <color theme="0"/>
      <name val="Tahoma"/>
      <family val="2"/>
    </font>
    <font>
      <u val="doubleAccounting"/>
      <sz val="12"/>
      <color theme="1"/>
      <name val="Tahoma"/>
      <family val="2"/>
    </font>
    <font>
      <u/>
      <sz val="10"/>
      <color theme="1"/>
      <name val="Arial"/>
      <family val="2"/>
    </font>
    <font>
      <b/>
      <sz val="16"/>
      <color theme="0"/>
      <name val="Tahoma"/>
      <family val="2"/>
    </font>
    <font>
      <b/>
      <sz val="12"/>
      <name val="Tahoma"/>
      <family val="2"/>
    </font>
    <font>
      <sz val="12"/>
      <name val="Tahoma"/>
      <family val="2"/>
    </font>
    <font>
      <sz val="12"/>
      <color theme="1"/>
      <name val="Arial"/>
      <family val="2"/>
    </font>
    <font>
      <sz val="14"/>
      <name val="Tahoma"/>
      <family val="2"/>
    </font>
    <font>
      <b/>
      <sz val="14"/>
      <color rgb="FFFF0000"/>
      <name val="Tahoma"/>
      <family val="2"/>
    </font>
    <font>
      <sz val="12"/>
      <color rgb="FFFF0000"/>
      <name val="Tahoma"/>
      <family val="2"/>
    </font>
    <font>
      <u val="singleAccounting"/>
      <sz val="12"/>
      <color theme="1"/>
      <name val="Arial"/>
      <family val="2"/>
    </font>
    <font>
      <u/>
      <sz val="12"/>
      <color theme="1"/>
      <name val="Arial"/>
      <family val="2"/>
    </font>
    <font>
      <u val="doubleAccounting"/>
      <sz val="12"/>
      <color theme="1"/>
      <name val="Arial"/>
      <family val="2"/>
    </font>
    <font>
      <u val="double"/>
      <sz val="12"/>
      <color theme="1"/>
      <name val="Arial"/>
      <family val="2"/>
    </font>
    <font>
      <sz val="10"/>
      <color theme="5" tint="-0.249977111117893"/>
      <name val="Arial"/>
      <family val="2"/>
    </font>
    <font>
      <b/>
      <sz val="9"/>
      <color theme="1"/>
      <name val="Arial"/>
      <family val="2"/>
    </font>
    <font>
      <sz val="10"/>
      <color theme="0" tint="-0.499984740745262"/>
      <name val="Arial"/>
      <family val="2"/>
    </font>
    <font>
      <sz val="9"/>
      <color theme="0" tint="-0.499984740745262"/>
      <name val="Arial"/>
      <family val="2"/>
    </font>
    <font>
      <b/>
      <sz val="11"/>
      <color theme="1"/>
      <name val="Calibri"/>
      <family val="2"/>
      <scheme val="minor"/>
    </font>
    <font>
      <b/>
      <sz val="16"/>
      <color theme="1"/>
      <name val="Calibri"/>
      <family val="2"/>
      <scheme val="minor"/>
    </font>
    <font>
      <b/>
      <sz val="16"/>
      <color theme="1"/>
      <name val="Calibri"/>
      <family val="2"/>
    </font>
    <font>
      <b/>
      <sz val="12"/>
      <color theme="0"/>
      <name val="Calibri"/>
      <family val="2"/>
      <scheme val="minor"/>
    </font>
    <font>
      <b/>
      <u/>
      <sz val="11"/>
      <color theme="1"/>
      <name val="Calibri"/>
      <family val="2"/>
      <scheme val="minor"/>
    </font>
    <font>
      <b/>
      <u/>
      <sz val="11"/>
      <color theme="1"/>
      <name val="Calibri"/>
      <family val="2"/>
    </font>
    <font>
      <b/>
      <sz val="11"/>
      <color theme="1"/>
      <name val="Calibri"/>
      <family val="2"/>
    </font>
    <font>
      <i/>
      <sz val="14"/>
      <color theme="1"/>
      <name val="Calibri"/>
      <family val="2"/>
      <scheme val="minor"/>
    </font>
    <font>
      <i/>
      <u/>
      <sz val="14"/>
      <color theme="1"/>
      <name val="Calibri"/>
      <family val="2"/>
      <scheme val="minor"/>
    </font>
    <font>
      <sz val="18"/>
      <color theme="1"/>
      <name val="Calibri"/>
      <family val="2"/>
    </font>
    <font>
      <sz val="9"/>
      <color indexed="81"/>
      <name val="Tahoma"/>
      <family val="2"/>
    </font>
    <font>
      <b/>
      <sz val="9"/>
      <color indexed="81"/>
      <name val="Tahoma"/>
      <family val="2"/>
    </font>
    <font>
      <sz val="12"/>
      <color indexed="81"/>
      <name val="Calibri"/>
      <family val="2"/>
    </font>
    <font>
      <sz val="12"/>
      <color indexed="81"/>
      <name val="Tahoma"/>
      <family val="2"/>
    </font>
    <font>
      <sz val="10"/>
      <name val="Arial"/>
      <family val="2"/>
    </font>
    <font>
      <sz val="11"/>
      <color indexed="8"/>
      <name val="Arial"/>
      <family val="2"/>
    </font>
    <font>
      <sz val="11"/>
      <color theme="1"/>
      <name val="Arial"/>
      <family val="2"/>
    </font>
    <font>
      <sz val="10"/>
      <name val="MS Sans Serif"/>
      <family val="2"/>
    </font>
    <font>
      <sz val="12"/>
      <color rgb="FF000000"/>
      <name val="Tahoma"/>
      <family val="2"/>
    </font>
    <font>
      <sz val="10"/>
      <color indexed="8"/>
      <name val="Arial"/>
      <family val="2"/>
    </font>
    <font>
      <b/>
      <sz val="12"/>
      <color indexed="81"/>
      <name val="Tahoma"/>
      <family val="2"/>
    </font>
    <font>
      <b/>
      <sz val="11"/>
      <color indexed="81"/>
      <name val="Tahoma"/>
      <family val="2"/>
    </font>
    <font>
      <sz val="11"/>
      <color indexed="81"/>
      <name val="Tahoma"/>
      <family val="2"/>
    </font>
    <font>
      <sz val="16"/>
      <color theme="1"/>
      <name val="Arial"/>
      <family val="2"/>
    </font>
    <font>
      <b/>
      <sz val="14"/>
      <color indexed="81"/>
      <name val="Tahoma"/>
      <family val="2"/>
    </font>
    <font>
      <sz val="14"/>
      <color indexed="81"/>
      <name val="Tahoma"/>
      <family val="2"/>
    </font>
    <font>
      <b/>
      <sz val="14"/>
      <color theme="1"/>
      <name val="Tahoma"/>
      <family val="2"/>
    </font>
    <font>
      <sz val="14"/>
      <color theme="1"/>
      <name val="Arial"/>
      <family val="2"/>
    </font>
    <font>
      <sz val="14"/>
      <color theme="1"/>
      <name val="Tahoma"/>
      <family val="2"/>
    </font>
    <font>
      <sz val="26"/>
      <color rgb="FF17365D"/>
      <name val="Times New Roman"/>
      <family val="1"/>
    </font>
    <font>
      <b/>
      <sz val="14"/>
      <color rgb="FF365F91"/>
      <name val="Times New Roman"/>
      <family val="1"/>
    </font>
    <font>
      <sz val="11"/>
      <color theme="1"/>
      <name val="Calibri"/>
      <family val="2"/>
    </font>
    <font>
      <sz val="12"/>
      <color theme="1"/>
      <name val="Times New Roman"/>
      <family val="1"/>
    </font>
    <font>
      <sz val="7"/>
      <color theme="1"/>
      <name val="Times New Roman"/>
      <family val="1"/>
    </font>
    <font>
      <sz val="11"/>
      <color theme="1"/>
      <name val="Times New Roman"/>
      <family val="1"/>
    </font>
    <font>
      <b/>
      <sz val="14"/>
      <color rgb="FF1F497D"/>
      <name val="Times New Roman"/>
      <family val="1"/>
    </font>
    <font>
      <u val="singleAccounting"/>
      <sz val="12"/>
      <color rgb="FF000000"/>
      <name val="Tahoma"/>
      <family val="2"/>
    </font>
    <font>
      <b/>
      <sz val="12"/>
      <color rgb="FF000000"/>
      <name val="Tahoma"/>
      <family val="2"/>
    </font>
    <font>
      <u/>
      <sz val="10"/>
      <color theme="10"/>
      <name val="Arial"/>
      <family val="2"/>
    </font>
    <font>
      <sz val="12"/>
      <color theme="0"/>
      <name val="Tahoma"/>
      <family val="2"/>
    </font>
    <font>
      <sz val="12"/>
      <color theme="1"/>
      <name val="Calibri"/>
      <family val="2"/>
    </font>
    <font>
      <sz val="10"/>
      <color indexed="12"/>
      <name val="MS Sans Serif"/>
      <family val="2"/>
    </font>
    <font>
      <b/>
      <sz val="9.5"/>
      <color indexed="10"/>
      <name val="MS Sans Serif"/>
      <family val="2"/>
    </font>
    <font>
      <sz val="10"/>
      <name val="Garamond"/>
      <family val="1"/>
    </font>
    <font>
      <sz val="10"/>
      <color indexed="8"/>
      <name val="MS Sans Serif"/>
      <family val="2"/>
    </font>
    <font>
      <b/>
      <sz val="14"/>
      <name val="Times New Roman"/>
      <family val="1"/>
    </font>
    <font>
      <b/>
      <sz val="12"/>
      <name val="Times New Roman"/>
      <family val="1"/>
    </font>
    <font>
      <b/>
      <sz val="12"/>
      <color theme="1"/>
      <name val="Times New Roman"/>
      <family val="1"/>
    </font>
    <font>
      <sz val="12"/>
      <name val="Times New Roman"/>
      <family val="1"/>
    </font>
    <font>
      <sz val="10"/>
      <color theme="1"/>
      <name val="Times New Roman"/>
      <family val="1"/>
    </font>
    <font>
      <sz val="14"/>
      <color theme="1"/>
      <name val="Times New Roman"/>
      <family val="1"/>
    </font>
    <font>
      <b/>
      <sz val="14"/>
      <color theme="1"/>
      <name val="Times New Roman"/>
      <family val="1"/>
    </font>
    <font>
      <b/>
      <sz val="14"/>
      <color theme="0"/>
      <name val="Times New Roman"/>
      <family val="1"/>
    </font>
    <font>
      <b/>
      <sz val="18"/>
      <color theme="0"/>
      <name val="Times New Roman"/>
      <family val="1"/>
    </font>
    <font>
      <b/>
      <i/>
      <sz val="14"/>
      <color theme="1"/>
      <name val="Times New Roman"/>
      <family val="1"/>
    </font>
    <font>
      <b/>
      <sz val="10"/>
      <color theme="1"/>
      <name val="Times New Roman"/>
      <family val="1"/>
    </font>
    <font>
      <b/>
      <sz val="11"/>
      <color theme="1"/>
      <name val="Times New Roman"/>
      <family val="1"/>
    </font>
    <font>
      <sz val="10"/>
      <name val="Times New Roman"/>
      <family val="1"/>
    </font>
    <font>
      <b/>
      <sz val="10"/>
      <color rgb="FFFFFFFF"/>
      <name val="Times New Roman"/>
      <family val="1"/>
    </font>
    <font>
      <b/>
      <sz val="10"/>
      <color rgb="FF000000"/>
      <name val="Times New Roman"/>
      <family val="1"/>
    </font>
    <font>
      <sz val="10"/>
      <color rgb="FF000000"/>
      <name val="Times New Roman"/>
      <family val="1"/>
    </font>
    <font>
      <sz val="22"/>
      <color theme="1"/>
      <name val="Arial"/>
      <family val="2"/>
    </font>
    <font>
      <b/>
      <sz val="16"/>
      <color theme="1"/>
      <name val="Times New Roman"/>
      <family val="1"/>
    </font>
    <font>
      <sz val="9"/>
      <color theme="1"/>
      <name val="Arial"/>
      <family val="2"/>
    </font>
    <font>
      <sz val="8"/>
      <color theme="1"/>
      <name val="Arial"/>
      <family val="2"/>
    </font>
    <font>
      <b/>
      <sz val="11"/>
      <color theme="1"/>
      <name val="Arial"/>
      <family val="2"/>
    </font>
    <font>
      <sz val="10"/>
      <name val="Courier New"/>
      <family val="3"/>
    </font>
    <font>
      <b/>
      <sz val="14"/>
      <color theme="1"/>
      <name val="Arial"/>
      <family val="2"/>
    </font>
    <font>
      <b/>
      <sz val="9"/>
      <color theme="0"/>
      <name val="Arial"/>
      <family val="2"/>
    </font>
    <font>
      <b/>
      <sz val="11"/>
      <color theme="0"/>
      <name val="Arial"/>
      <family val="2"/>
    </font>
    <font>
      <b/>
      <sz val="10"/>
      <color theme="0"/>
      <name val="Arial"/>
      <family val="2"/>
    </font>
    <font>
      <b/>
      <sz val="12"/>
      <color theme="0"/>
      <name val="Arial"/>
      <family val="2"/>
    </font>
    <font>
      <b/>
      <sz val="12"/>
      <color theme="0"/>
      <name val="Times New Roman"/>
      <family val="1"/>
    </font>
    <font>
      <vertAlign val="superscript"/>
      <sz val="11"/>
      <color theme="1"/>
      <name val="Times New Roman"/>
      <family val="1"/>
    </font>
    <font>
      <vertAlign val="superscript"/>
      <sz val="11"/>
      <color theme="1"/>
      <name val="Arial"/>
      <family val="2"/>
    </font>
    <font>
      <vertAlign val="superscript"/>
      <sz val="10"/>
      <color theme="1"/>
      <name val="Arial"/>
      <family val="2"/>
    </font>
    <font>
      <b/>
      <vertAlign val="superscript"/>
      <sz val="10"/>
      <color theme="1"/>
      <name val="Arial"/>
      <family val="2"/>
    </font>
    <font>
      <sz val="10.5"/>
      <color theme="1"/>
      <name val="Arial"/>
      <family val="2"/>
    </font>
    <font>
      <vertAlign val="superscript"/>
      <sz val="10.5"/>
      <color theme="1"/>
      <name val="Arial"/>
      <family val="2"/>
    </font>
    <font>
      <b/>
      <vertAlign val="superscript"/>
      <sz val="12"/>
      <color theme="0"/>
      <name val="Arial"/>
      <family val="2"/>
    </font>
    <font>
      <b/>
      <sz val="11"/>
      <color rgb="FF000000"/>
      <name val="Calibri"/>
      <family val="2"/>
    </font>
    <font>
      <sz val="11"/>
      <color rgb="FF000000"/>
      <name val="Calibri"/>
      <family val="2"/>
    </font>
    <font>
      <sz val="11"/>
      <color rgb="FF1F497D"/>
      <name val="Calibri"/>
      <family val="2"/>
    </font>
    <font>
      <b/>
      <sz val="20"/>
      <color theme="1"/>
      <name val="Arial"/>
      <family val="2"/>
    </font>
    <font>
      <sz val="9.5"/>
      <color theme="1"/>
      <name val="Arial"/>
      <family val="2"/>
    </font>
    <font>
      <b/>
      <sz val="9"/>
      <color rgb="FF202124"/>
      <name val="Roboto"/>
    </font>
    <font>
      <sz val="9"/>
      <color rgb="FF202124"/>
      <name val="Roboto"/>
    </font>
    <font>
      <sz val="10"/>
      <color rgb="FF202124"/>
      <name val="Roboto"/>
    </font>
    <font>
      <b/>
      <sz val="10"/>
      <color rgb="FF202124"/>
      <name val="Roboto"/>
    </font>
    <font>
      <b/>
      <sz val="10"/>
      <color rgb="FFC00000"/>
      <name val="Arial"/>
      <family val="2"/>
    </font>
    <font>
      <b/>
      <sz val="13"/>
      <color rgb="FF0070C0"/>
      <name val="Times New Roman"/>
      <family val="1"/>
    </font>
  </fonts>
  <fills count="38">
    <fill>
      <patternFill patternType="none"/>
    </fill>
    <fill>
      <patternFill patternType="gray125"/>
    </fill>
    <fill>
      <patternFill patternType="solid">
        <fgColor rgb="FFC6EFCE"/>
      </patternFill>
    </fill>
    <fill>
      <patternFill patternType="solid">
        <fgColor rgb="FFFFEB9C"/>
      </patternFill>
    </fill>
    <fill>
      <patternFill patternType="solid">
        <fgColor theme="6"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FFC000"/>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4"/>
        <bgColor indexed="64"/>
      </patternFill>
    </fill>
    <fill>
      <patternFill patternType="solid">
        <fgColor theme="5"/>
        <bgColor indexed="64"/>
      </patternFill>
    </fill>
    <fill>
      <patternFill patternType="solid">
        <fgColor theme="3" tint="0.39997558519241921"/>
        <bgColor indexed="64"/>
      </patternFill>
    </fill>
    <fill>
      <patternFill patternType="solid">
        <fgColor theme="5" tint="-0.249977111117893"/>
        <bgColor indexed="64"/>
      </patternFill>
    </fill>
    <fill>
      <patternFill patternType="solid">
        <fgColor theme="3" tint="0.59999389629810485"/>
        <bgColor indexed="64"/>
      </patternFill>
    </fill>
    <fill>
      <patternFill patternType="solid">
        <fgColor rgb="FFB7FFFF"/>
        <bgColor indexed="64"/>
      </patternFill>
    </fill>
    <fill>
      <patternFill patternType="solid">
        <fgColor theme="1" tint="0.249977111117893"/>
        <bgColor indexed="64"/>
      </patternFill>
    </fill>
    <fill>
      <patternFill patternType="solid">
        <fgColor theme="3" tint="-0.249977111117893"/>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002060"/>
        <bgColor indexed="64"/>
      </patternFill>
    </fill>
    <fill>
      <patternFill patternType="solid">
        <fgColor theme="0"/>
        <bgColor indexed="64"/>
      </patternFill>
    </fill>
    <fill>
      <patternFill patternType="solid">
        <fgColor rgb="FFEBF1DE"/>
        <bgColor rgb="FF000000"/>
      </patternFill>
    </fill>
    <fill>
      <patternFill patternType="solid">
        <fgColor rgb="FFFDE9D9"/>
        <bgColor rgb="FF000000"/>
      </patternFill>
    </fill>
    <fill>
      <patternFill patternType="solid">
        <fgColor indexed="65"/>
        <bgColor indexed="64"/>
      </patternFill>
    </fill>
    <fill>
      <patternFill patternType="solid">
        <fgColor indexed="22"/>
        <bgColor indexed="64"/>
      </patternFill>
    </fill>
    <fill>
      <patternFill patternType="solid">
        <fgColor rgb="FFFF0000"/>
        <bgColor indexed="64"/>
      </patternFill>
    </fill>
    <fill>
      <patternFill patternType="solid">
        <fgColor theme="3" tint="-0.24994659260841701"/>
        <bgColor indexed="64"/>
      </patternFill>
    </fill>
    <fill>
      <patternFill patternType="solid">
        <fgColor rgb="FF17365D"/>
        <bgColor indexed="64"/>
      </patternFill>
    </fill>
    <fill>
      <patternFill patternType="solid">
        <fgColor rgb="FFEAF1DD"/>
        <bgColor indexed="64"/>
      </patternFill>
    </fill>
    <fill>
      <patternFill patternType="solid">
        <fgColor rgb="FFF5F8EE"/>
        <bgColor indexed="64"/>
      </patternFill>
    </fill>
    <fill>
      <patternFill patternType="solid">
        <fgColor theme="4" tint="0.79998168889431442"/>
        <bgColor indexed="64"/>
      </patternFill>
    </fill>
    <fill>
      <patternFill patternType="solid">
        <fgColor theme="6"/>
        <bgColor indexed="64"/>
      </patternFill>
    </fill>
    <fill>
      <patternFill patternType="solid">
        <fgColor theme="2" tint="-0.499984740745262"/>
        <bgColor indexed="64"/>
      </patternFill>
    </fill>
  </fills>
  <borders count="86">
    <border>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theme="0"/>
      </bottom>
      <diagonal/>
    </border>
    <border>
      <left/>
      <right/>
      <top style="thin">
        <color theme="0"/>
      </top>
      <bottom/>
      <diagonal/>
    </border>
    <border>
      <left/>
      <right/>
      <top style="thin">
        <color theme="0"/>
      </top>
      <bottom style="thin">
        <color auto="1"/>
      </bottom>
      <diagonal/>
    </border>
    <border>
      <left/>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double">
        <color indexed="64"/>
      </top>
      <bottom style="thin">
        <color indexed="64"/>
      </bottom>
      <diagonal/>
    </border>
    <border>
      <left/>
      <right style="thin">
        <color indexed="64"/>
      </right>
      <top style="thin">
        <color indexed="64"/>
      </top>
      <bottom style="double">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theme="0"/>
      </bottom>
      <diagonal/>
    </border>
    <border>
      <left style="medium">
        <color indexed="64"/>
      </left>
      <right/>
      <top style="medium">
        <color indexed="64"/>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right style="thin">
        <color rgb="FFFF0000"/>
      </right>
      <top/>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medium">
        <color rgb="FFFF0000"/>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style="medium">
        <color rgb="FFFF0000"/>
      </right>
      <top/>
      <bottom style="medium">
        <color rgb="FFFF0000"/>
      </bottom>
      <diagonal/>
    </border>
    <border>
      <left/>
      <right/>
      <top style="thin">
        <color rgb="FFFF0000"/>
      </top>
      <bottom style="double">
        <color rgb="FFFF0000"/>
      </bottom>
      <diagonal/>
    </border>
    <border>
      <left style="thin">
        <color rgb="FFD0D7E5"/>
      </left>
      <right style="thin">
        <color rgb="FFD0D7E5"/>
      </right>
      <top style="thin">
        <color rgb="FFD0D7E5"/>
      </top>
      <bottom style="thin">
        <color rgb="FFD0D7E5"/>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right/>
      <top style="medium">
        <color theme="0"/>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bottom style="thick">
        <color theme="0"/>
      </bottom>
      <diagonal/>
    </border>
    <border>
      <left style="thick">
        <color theme="0"/>
      </left>
      <right/>
      <top/>
      <bottom style="thick">
        <color theme="0"/>
      </bottom>
      <diagonal/>
    </border>
    <border>
      <left/>
      <right style="thick">
        <color theme="0"/>
      </right>
      <top/>
      <bottom style="thick">
        <color theme="0"/>
      </bottom>
      <diagonal/>
    </border>
  </borders>
  <cellStyleXfs count="5579">
    <xf numFmtId="0" fontId="0" fillId="0" borderId="0"/>
    <xf numFmtId="44" fontId="20" fillId="0" borderId="0" applyFont="0" applyFill="0" applyBorder="0" applyAlignment="0" applyProtection="0"/>
    <xf numFmtId="0" fontId="21" fillId="2" borderId="0" applyNumberFormat="0" applyBorder="0" applyAlignment="0" applyProtection="0"/>
    <xf numFmtId="0" fontId="22" fillId="3" borderId="0" applyNumberFormat="0" applyBorder="0" applyAlignment="0" applyProtection="0"/>
    <xf numFmtId="9" fontId="20" fillId="0" borderId="0" applyFont="0" applyFill="0" applyBorder="0" applyAlignment="0" applyProtection="0"/>
    <xf numFmtId="0" fontId="19" fillId="0" borderId="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4" fillId="0" borderId="0" applyFont="0" applyFill="0" applyBorder="0" applyAlignment="0" applyProtection="0"/>
    <xf numFmtId="43" fontId="75" fillId="0" borderId="0" applyFont="0" applyFill="0" applyBorder="0" applyAlignment="0" applyProtection="0"/>
    <xf numFmtId="43" fontId="74"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20"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4" fillId="0" borderId="0" applyFont="0" applyFill="0" applyBorder="0" applyAlignment="0" applyProtection="0"/>
    <xf numFmtId="44" fontId="75" fillId="0" borderId="0" applyFont="0" applyFill="0" applyBorder="0" applyAlignment="0" applyProtection="0"/>
    <xf numFmtId="44" fontId="74" fillId="0" borderId="0" applyFont="0" applyFill="0" applyBorder="0" applyAlignment="0" applyProtection="0"/>
    <xf numFmtId="44" fontId="73" fillId="0" borderId="0" applyFont="0" applyFill="0" applyBorder="0" applyAlignment="0" applyProtection="0"/>
    <xf numFmtId="44" fontId="75"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178" fontId="21" fillId="2" borderId="0" applyNumberFormat="0" applyBorder="0" applyAlignment="0" applyProtection="0"/>
    <xf numFmtId="178" fontId="22" fillId="3" borderId="0" applyNumberFormat="0" applyBorder="0" applyAlignment="0" applyProtection="0"/>
    <xf numFmtId="178" fontId="73" fillId="0" borderId="0"/>
    <xf numFmtId="178" fontId="75" fillId="0" borderId="0"/>
    <xf numFmtId="178" fontId="75" fillId="0" borderId="0"/>
    <xf numFmtId="178" fontId="18" fillId="0" borderId="0"/>
    <xf numFmtId="178" fontId="75" fillId="0" borderId="0"/>
    <xf numFmtId="178" fontId="75" fillId="0" borderId="0"/>
    <xf numFmtId="178" fontId="73" fillId="0" borderId="0"/>
    <xf numFmtId="0" fontId="20" fillId="0" borderId="0"/>
    <xf numFmtId="0" fontId="73" fillId="0" borderId="0"/>
    <xf numFmtId="0" fontId="73" fillId="0" borderId="0"/>
    <xf numFmtId="0" fontId="76" fillId="0" borderId="0"/>
    <xf numFmtId="0" fontId="18" fillId="0" borderId="0"/>
    <xf numFmtId="178" fontId="73" fillId="0" borderId="0"/>
    <xf numFmtId="0" fontId="73" fillId="0" borderId="0"/>
    <xf numFmtId="178" fontId="18" fillId="0" borderId="0"/>
    <xf numFmtId="178" fontId="73" fillId="0" borderId="0"/>
    <xf numFmtId="178" fontId="73" fillId="0" borderId="0"/>
    <xf numFmtId="178" fontId="73" fillId="0" borderId="0"/>
    <xf numFmtId="178" fontId="73" fillId="0" borderId="0"/>
    <xf numFmtId="178" fontId="73" fillId="0" borderId="0"/>
    <xf numFmtId="178" fontId="73" fillId="0" borderId="0"/>
    <xf numFmtId="178" fontId="73" fillId="0" borderId="0"/>
    <xf numFmtId="178" fontId="73" fillId="0" borderId="0"/>
    <xf numFmtId="178" fontId="20" fillId="0" borderId="0"/>
    <xf numFmtId="178" fontId="73" fillId="0" borderId="0"/>
    <xf numFmtId="178" fontId="75" fillId="0" borderId="0"/>
    <xf numFmtId="178" fontId="74" fillId="0" borderId="0"/>
    <xf numFmtId="178" fontId="73" fillId="0" borderId="0"/>
    <xf numFmtId="178" fontId="73" fillId="0" borderId="0"/>
    <xf numFmtId="178" fontId="73" fillId="0" borderId="0"/>
    <xf numFmtId="178" fontId="75" fillId="0" borderId="0"/>
    <xf numFmtId="178" fontId="75" fillId="0" borderId="0"/>
    <xf numFmtId="178" fontId="73" fillId="0" borderId="0"/>
    <xf numFmtId="178" fontId="73" fillId="0" borderId="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4" fillId="0" borderId="0" applyFont="0" applyFill="0" applyBorder="0" applyAlignment="0" applyProtection="0"/>
    <xf numFmtId="9" fontId="75" fillId="0" borderId="0" applyFont="0" applyFill="0" applyBorder="0" applyAlignment="0" applyProtection="0"/>
    <xf numFmtId="9" fontId="73" fillId="0" borderId="0" applyFont="0" applyFill="0" applyBorder="0" applyAlignment="0" applyProtection="0"/>
    <xf numFmtId="9" fontId="74" fillId="0" borderId="0" applyFont="0" applyFill="0" applyBorder="0" applyAlignment="0" applyProtection="0"/>
    <xf numFmtId="9" fontId="73" fillId="0" borderId="0" applyFont="0" applyFill="0" applyBorder="0" applyAlignment="0" applyProtection="0"/>
    <xf numFmtId="9" fontId="75" fillId="0" borderId="0" applyFont="0" applyFill="0" applyBorder="0" applyAlignment="0" applyProtection="0"/>
    <xf numFmtId="178" fontId="17" fillId="0" borderId="0"/>
    <xf numFmtId="0" fontId="17" fillId="0" borderId="0"/>
    <xf numFmtId="178" fontId="17" fillId="0" borderId="0"/>
    <xf numFmtId="0" fontId="73" fillId="0" borderId="0"/>
    <xf numFmtId="44" fontId="73" fillId="0" borderId="0" applyFont="0" applyFill="0" applyBorder="0" applyAlignment="0" applyProtection="0"/>
    <xf numFmtId="0" fontId="78" fillId="0" borderId="0"/>
    <xf numFmtId="178" fontId="16" fillId="0" borderId="0"/>
    <xf numFmtId="0" fontId="16" fillId="0" borderId="0"/>
    <xf numFmtId="178" fontId="16" fillId="0" borderId="0"/>
    <xf numFmtId="0" fontId="16" fillId="0" borderId="0"/>
    <xf numFmtId="0" fontId="16" fillId="0" borderId="0"/>
    <xf numFmtId="0" fontId="16" fillId="0" borderId="0"/>
    <xf numFmtId="178" fontId="15" fillId="0" borderId="0"/>
    <xf numFmtId="0" fontId="15" fillId="0" borderId="0"/>
    <xf numFmtId="178" fontId="15" fillId="0" borderId="0"/>
    <xf numFmtId="0" fontId="15" fillId="0" borderId="0"/>
    <xf numFmtId="0" fontId="15" fillId="0" borderId="0"/>
    <xf numFmtId="0" fontId="15" fillId="0" borderId="0"/>
    <xf numFmtId="0" fontId="97" fillId="0" borderId="0" applyNumberFormat="0" applyFill="0" applyBorder="0" applyAlignment="0" applyProtection="0"/>
    <xf numFmtId="178" fontId="14" fillId="0" borderId="0"/>
    <xf numFmtId="178" fontId="14" fillId="0" borderId="0"/>
    <xf numFmtId="178" fontId="14" fillId="0" borderId="0"/>
    <xf numFmtId="178" fontId="14" fillId="0" borderId="0"/>
    <xf numFmtId="0" fontId="14" fillId="0" borderId="0"/>
    <xf numFmtId="0" fontId="14" fillId="0" borderId="0"/>
    <xf numFmtId="0" fontId="14" fillId="0" borderId="0"/>
    <xf numFmtId="0" fontId="14" fillId="0" borderId="0"/>
    <xf numFmtId="0" fontId="14" fillId="0" borderId="0"/>
    <xf numFmtId="178" fontId="14" fillId="0" borderId="0"/>
    <xf numFmtId="178" fontId="14" fillId="0" borderId="0"/>
    <xf numFmtId="178" fontId="14" fillId="0" borderId="0"/>
    <xf numFmtId="178" fontId="14" fillId="0" borderId="0"/>
    <xf numFmtId="0" fontId="103" fillId="0" borderId="5" applyNumberFormat="0" applyBorder="0" applyAlignment="0"/>
    <xf numFmtId="0" fontId="102" fillId="0" borderId="0"/>
    <xf numFmtId="9" fontId="101" fillId="0" borderId="9" applyNumberFormat="0" applyBorder="0" applyAlignment="0">
      <protection locked="0"/>
    </xf>
    <xf numFmtId="0" fontId="100" fillId="0" borderId="0" applyAlignment="0"/>
    <xf numFmtId="0" fontId="14" fillId="0" borderId="0"/>
    <xf numFmtId="0" fontId="14" fillId="0" borderId="0"/>
    <xf numFmtId="0" fontId="14" fillId="0" borderId="0"/>
    <xf numFmtId="0" fontId="14" fillId="0" borderId="0"/>
    <xf numFmtId="0" fontId="14" fillId="0" borderId="0"/>
    <xf numFmtId="0" fontId="14" fillId="0" borderId="0"/>
    <xf numFmtId="0" fontId="78" fillId="0" borderId="0"/>
    <xf numFmtId="0" fontId="99" fillId="0" borderId="0"/>
    <xf numFmtId="0" fontId="14" fillId="0" borderId="0"/>
    <xf numFmtId="0" fontId="14" fillId="0" borderId="0"/>
    <xf numFmtId="0" fontId="14" fillId="0" borderId="0"/>
    <xf numFmtId="0" fontId="78" fillId="0" borderId="0"/>
    <xf numFmtId="0" fontId="13" fillId="0" borderId="0"/>
    <xf numFmtId="178" fontId="13" fillId="0" borderId="0"/>
    <xf numFmtId="0" fontId="13" fillId="0" borderId="0"/>
    <xf numFmtId="178" fontId="13" fillId="0" borderId="0"/>
    <xf numFmtId="178" fontId="13" fillId="0" borderId="0"/>
    <xf numFmtId="0" fontId="13" fillId="0" borderId="0"/>
    <xf numFmtId="178" fontId="13" fillId="0" borderId="0"/>
    <xf numFmtId="178" fontId="13" fillId="0" borderId="0"/>
    <xf numFmtId="0" fontId="13" fillId="0" borderId="0"/>
    <xf numFmtId="178" fontId="13" fillId="0" borderId="0"/>
    <xf numFmtId="0" fontId="13" fillId="0" borderId="0"/>
    <xf numFmtId="0" fontId="13" fillId="0" borderId="0"/>
    <xf numFmtId="0" fontId="13" fillId="0" borderId="0"/>
    <xf numFmtId="178" fontId="13" fillId="0" borderId="0"/>
    <xf numFmtId="0" fontId="13" fillId="0" borderId="0"/>
    <xf numFmtId="178" fontId="13" fillId="0" borderId="0"/>
    <xf numFmtId="0" fontId="13" fillId="0" borderId="0"/>
    <xf numFmtId="0" fontId="13" fillId="0" borderId="0"/>
    <xf numFmtId="0" fontId="13" fillId="0" borderId="0"/>
    <xf numFmtId="178" fontId="13" fillId="0" borderId="0"/>
    <xf numFmtId="178" fontId="13" fillId="0" borderId="0"/>
    <xf numFmtId="178" fontId="13" fillId="0" borderId="0"/>
    <xf numFmtId="178" fontId="13" fillId="0" borderId="0"/>
    <xf numFmtId="0" fontId="13" fillId="0" borderId="0"/>
    <xf numFmtId="0" fontId="13" fillId="0" borderId="0"/>
    <xf numFmtId="0" fontId="13" fillId="0" borderId="0"/>
    <xf numFmtId="0" fontId="13" fillId="0" borderId="0"/>
    <xf numFmtId="0" fontId="13" fillId="0" borderId="0"/>
    <xf numFmtId="178" fontId="13" fillId="0" borderId="0"/>
    <xf numFmtId="178" fontId="13" fillId="0" borderId="0"/>
    <xf numFmtId="178" fontId="13" fillId="0" borderId="0"/>
    <xf numFmtId="178"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1" fillId="0" borderId="0"/>
    <xf numFmtId="0" fontId="78" fillId="0" borderId="0"/>
    <xf numFmtId="0" fontId="11" fillId="0" borderId="0"/>
    <xf numFmtId="178" fontId="10" fillId="0" borderId="0"/>
    <xf numFmtId="178" fontId="10" fillId="0" borderId="0"/>
    <xf numFmtId="178" fontId="10" fillId="0" borderId="0"/>
    <xf numFmtId="178" fontId="10" fillId="0" borderId="0"/>
    <xf numFmtId="0" fontId="10" fillId="0" borderId="0"/>
    <xf numFmtId="0" fontId="10" fillId="0" borderId="0"/>
    <xf numFmtId="0" fontId="10" fillId="0" borderId="0"/>
    <xf numFmtId="0" fontId="10" fillId="0" borderId="0"/>
    <xf numFmtId="0" fontId="10" fillId="0" borderId="0"/>
    <xf numFmtId="178" fontId="10" fillId="0" borderId="0"/>
    <xf numFmtId="178" fontId="10" fillId="0" borderId="0"/>
    <xf numFmtId="178" fontId="10" fillId="0" borderId="0"/>
    <xf numFmtId="178"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0" fillId="0" borderId="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178" fontId="9" fillId="0" borderId="0"/>
    <xf numFmtId="0" fontId="9" fillId="0" borderId="0"/>
    <xf numFmtId="178" fontId="9" fillId="0" borderId="0"/>
    <xf numFmtId="178" fontId="9" fillId="0" borderId="0"/>
    <xf numFmtId="0" fontId="9" fillId="0" borderId="0"/>
    <xf numFmtId="178" fontId="9" fillId="0" borderId="0"/>
    <xf numFmtId="178" fontId="9" fillId="0" borderId="0"/>
    <xf numFmtId="0" fontId="9" fillId="0" borderId="0"/>
    <xf numFmtId="178" fontId="9" fillId="0" borderId="0"/>
    <xf numFmtId="0" fontId="9" fillId="0" borderId="0"/>
    <xf numFmtId="0" fontId="9" fillId="0" borderId="0"/>
    <xf numFmtId="0" fontId="9" fillId="0" borderId="0"/>
    <xf numFmtId="178" fontId="9" fillId="0" borderId="0"/>
    <xf numFmtId="0" fontId="9" fillId="0" borderId="0"/>
    <xf numFmtId="178" fontId="9" fillId="0" borderId="0"/>
    <xf numFmtId="0" fontId="9" fillId="0" borderId="0"/>
    <xf numFmtId="0" fontId="9" fillId="0" borderId="0"/>
    <xf numFmtId="0" fontId="9" fillId="0" borderId="0"/>
    <xf numFmtId="178" fontId="9" fillId="0" borderId="0"/>
    <xf numFmtId="178" fontId="9" fillId="0" borderId="0"/>
    <xf numFmtId="178" fontId="9" fillId="0" borderId="0"/>
    <xf numFmtId="178" fontId="9" fillId="0" borderId="0"/>
    <xf numFmtId="0" fontId="9" fillId="0" borderId="0"/>
    <xf numFmtId="0" fontId="9" fillId="0" borderId="0"/>
    <xf numFmtId="0" fontId="9" fillId="0" borderId="0"/>
    <xf numFmtId="0" fontId="9" fillId="0" borderId="0"/>
    <xf numFmtId="0" fontId="9" fillId="0" borderId="0"/>
    <xf numFmtId="178" fontId="9" fillId="0" borderId="0"/>
    <xf numFmtId="178" fontId="9" fillId="0" borderId="0"/>
    <xf numFmtId="178" fontId="9" fillId="0" borderId="0"/>
    <xf numFmtId="178"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8" fontId="9" fillId="0" borderId="0"/>
    <xf numFmtId="0" fontId="9" fillId="0" borderId="0"/>
    <xf numFmtId="178" fontId="9" fillId="0" borderId="0"/>
    <xf numFmtId="178" fontId="9" fillId="0" borderId="0"/>
    <xf numFmtId="0" fontId="9" fillId="0" borderId="0"/>
    <xf numFmtId="178" fontId="9" fillId="0" borderId="0"/>
    <xf numFmtId="178" fontId="9" fillId="0" borderId="0"/>
    <xf numFmtId="0" fontId="9" fillId="0" borderId="0"/>
    <xf numFmtId="178" fontId="9" fillId="0" borderId="0"/>
    <xf numFmtId="0" fontId="9" fillId="0" borderId="0"/>
    <xf numFmtId="0" fontId="9" fillId="0" borderId="0"/>
    <xf numFmtId="0" fontId="9" fillId="0" borderId="0"/>
    <xf numFmtId="178" fontId="9" fillId="0" borderId="0"/>
    <xf numFmtId="0" fontId="9" fillId="0" borderId="0"/>
    <xf numFmtId="178" fontId="9" fillId="0" borderId="0"/>
    <xf numFmtId="0" fontId="9" fillId="0" borderId="0"/>
    <xf numFmtId="0" fontId="9" fillId="0" borderId="0"/>
    <xf numFmtId="0" fontId="9" fillId="0" borderId="0"/>
    <xf numFmtId="178" fontId="9" fillId="0" borderId="0"/>
    <xf numFmtId="178" fontId="9" fillId="0" borderId="0"/>
    <xf numFmtId="178" fontId="9" fillId="0" borderId="0"/>
    <xf numFmtId="178" fontId="9" fillId="0" borderId="0"/>
    <xf numFmtId="0" fontId="9" fillId="0" borderId="0"/>
    <xf numFmtId="0" fontId="9" fillId="0" borderId="0"/>
    <xf numFmtId="0" fontId="9" fillId="0" borderId="0"/>
    <xf numFmtId="0" fontId="9" fillId="0" borderId="0"/>
    <xf numFmtId="0" fontId="9" fillId="0" borderId="0"/>
    <xf numFmtId="178" fontId="9" fillId="0" borderId="0"/>
    <xf numFmtId="178" fontId="9" fillId="0" borderId="0"/>
    <xf numFmtId="178" fontId="9" fillId="0" borderId="0"/>
    <xf numFmtId="178"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8" fontId="8" fillId="0" borderId="0"/>
    <xf numFmtId="178" fontId="8" fillId="0" borderId="0"/>
    <xf numFmtId="178" fontId="8" fillId="0" borderId="0"/>
    <xf numFmtId="178" fontId="8" fillId="0" borderId="0"/>
    <xf numFmtId="0" fontId="8" fillId="0" borderId="0"/>
    <xf numFmtId="0" fontId="8" fillId="0" borderId="0"/>
    <xf numFmtId="0" fontId="8" fillId="0" borderId="0"/>
    <xf numFmtId="0" fontId="8" fillId="0" borderId="0"/>
    <xf numFmtId="0" fontId="8" fillId="0" borderId="0"/>
    <xf numFmtId="178" fontId="8" fillId="0" borderId="0"/>
    <xf numFmtId="178" fontId="8" fillId="0" borderId="0"/>
    <xf numFmtId="178" fontId="8" fillId="0" borderId="0"/>
    <xf numFmtId="17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8" fontId="8" fillId="0" borderId="0"/>
    <xf numFmtId="178" fontId="8" fillId="0" borderId="0"/>
    <xf numFmtId="178" fontId="8" fillId="0" borderId="0"/>
    <xf numFmtId="178" fontId="8" fillId="0" borderId="0"/>
    <xf numFmtId="0" fontId="8" fillId="0" borderId="0"/>
    <xf numFmtId="0" fontId="8" fillId="0" borderId="0"/>
    <xf numFmtId="0" fontId="8" fillId="0" borderId="0"/>
    <xf numFmtId="0" fontId="8" fillId="0" borderId="0"/>
    <xf numFmtId="0" fontId="8" fillId="0" borderId="0"/>
    <xf numFmtId="178" fontId="8" fillId="0" borderId="0"/>
    <xf numFmtId="178" fontId="8" fillId="0" borderId="0"/>
    <xf numFmtId="178" fontId="8" fillId="0" borderId="0"/>
    <xf numFmtId="17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8" fillId="0" borderId="0"/>
    <xf numFmtId="0" fontId="8" fillId="0" borderId="0"/>
    <xf numFmtId="0" fontId="8" fillId="0" borderId="0"/>
    <xf numFmtId="0" fontId="8" fillId="0" borderId="0"/>
    <xf numFmtId="0" fontId="78" fillId="0" borderId="0"/>
    <xf numFmtId="0" fontId="8" fillId="0" borderId="0"/>
    <xf numFmtId="0" fontId="8" fillId="0" borderId="0"/>
    <xf numFmtId="0" fontId="8" fillId="0" borderId="0"/>
    <xf numFmtId="0" fontId="78" fillId="0" borderId="0"/>
    <xf numFmtId="0" fontId="8" fillId="0" borderId="0"/>
    <xf numFmtId="44" fontId="100" fillId="0" borderId="0" applyFont="0" applyFill="0" applyBorder="0" applyAlignment="0" applyProtection="0"/>
    <xf numFmtId="9" fontId="125" fillId="0" borderId="0" applyFont="0" applyFill="0" applyBorder="0" applyAlignment="0" applyProtection="0"/>
    <xf numFmtId="0" fontId="7" fillId="0" borderId="0"/>
    <xf numFmtId="178" fontId="7" fillId="0" borderId="0"/>
    <xf numFmtId="0" fontId="7" fillId="0" borderId="0"/>
    <xf numFmtId="178" fontId="7" fillId="0" borderId="0"/>
    <xf numFmtId="178" fontId="7" fillId="0" borderId="0"/>
    <xf numFmtId="0" fontId="7" fillId="0" borderId="0"/>
    <xf numFmtId="178" fontId="7" fillId="0" borderId="0"/>
    <xf numFmtId="178" fontId="7" fillId="0" borderId="0"/>
    <xf numFmtId="0" fontId="7" fillId="0" borderId="0"/>
    <xf numFmtId="178" fontId="7" fillId="0" borderId="0"/>
    <xf numFmtId="0" fontId="7" fillId="0" borderId="0"/>
    <xf numFmtId="0" fontId="7" fillId="0" borderId="0"/>
    <xf numFmtId="0" fontId="7" fillId="0" borderId="0"/>
    <xf numFmtId="178" fontId="7" fillId="0" borderId="0"/>
    <xf numFmtId="0" fontId="7" fillId="0" borderId="0"/>
    <xf numFmtId="178" fontId="7" fillId="0" borderId="0"/>
    <xf numFmtId="0" fontId="7" fillId="0" borderId="0"/>
    <xf numFmtId="0" fontId="7" fillId="0" borderId="0"/>
    <xf numFmtId="0" fontId="7" fillId="0" borderId="0"/>
    <xf numFmtId="178" fontId="7" fillId="0" borderId="0"/>
    <xf numFmtId="178" fontId="7" fillId="0" borderId="0"/>
    <xf numFmtId="178" fontId="7" fillId="0" borderId="0"/>
    <xf numFmtId="178" fontId="7" fillId="0" borderId="0"/>
    <xf numFmtId="0" fontId="7" fillId="0" borderId="0"/>
    <xf numFmtId="0" fontId="7" fillId="0" borderId="0"/>
    <xf numFmtId="0" fontId="7" fillId="0" borderId="0"/>
    <xf numFmtId="0" fontId="7" fillId="0" borderId="0"/>
    <xf numFmtId="0" fontId="7" fillId="0" borderId="0"/>
    <xf numFmtId="178" fontId="7" fillId="0" borderId="0"/>
    <xf numFmtId="178" fontId="7" fillId="0" borderId="0"/>
    <xf numFmtId="178" fontId="7" fillId="0" borderId="0"/>
    <xf numFmtId="178"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8" fontId="7" fillId="0" borderId="0"/>
    <xf numFmtId="0" fontId="7" fillId="0" borderId="0"/>
    <xf numFmtId="178" fontId="7" fillId="0" borderId="0"/>
    <xf numFmtId="178" fontId="7" fillId="0" borderId="0"/>
    <xf numFmtId="0" fontId="7" fillId="0" borderId="0"/>
    <xf numFmtId="178" fontId="7" fillId="0" borderId="0"/>
    <xf numFmtId="178" fontId="7" fillId="0" borderId="0"/>
    <xf numFmtId="0" fontId="7" fillId="0" borderId="0"/>
    <xf numFmtId="178" fontId="7" fillId="0" borderId="0"/>
    <xf numFmtId="0" fontId="7" fillId="0" borderId="0"/>
    <xf numFmtId="0" fontId="7" fillId="0" borderId="0"/>
    <xf numFmtId="0" fontId="7" fillId="0" borderId="0"/>
    <xf numFmtId="178" fontId="7" fillId="0" borderId="0"/>
    <xf numFmtId="0" fontId="7" fillId="0" borderId="0"/>
    <xf numFmtId="178" fontId="7" fillId="0" borderId="0"/>
    <xf numFmtId="0" fontId="7" fillId="0" borderId="0"/>
    <xf numFmtId="0" fontId="7" fillId="0" borderId="0"/>
    <xf numFmtId="0" fontId="7" fillId="0" borderId="0"/>
    <xf numFmtId="178" fontId="7" fillId="0" borderId="0"/>
    <xf numFmtId="178" fontId="7" fillId="0" borderId="0"/>
    <xf numFmtId="178" fontId="7" fillId="0" borderId="0"/>
    <xf numFmtId="178" fontId="7" fillId="0" borderId="0"/>
    <xf numFmtId="0" fontId="7" fillId="0" borderId="0"/>
    <xf numFmtId="0" fontId="7" fillId="0" borderId="0"/>
    <xf numFmtId="0" fontId="7" fillId="0" borderId="0"/>
    <xf numFmtId="0" fontId="7" fillId="0" borderId="0"/>
    <xf numFmtId="0" fontId="7" fillId="0" borderId="0"/>
    <xf numFmtId="178" fontId="7" fillId="0" borderId="0"/>
    <xf numFmtId="178" fontId="7" fillId="0" borderId="0"/>
    <xf numFmtId="178" fontId="7" fillId="0" borderId="0"/>
    <xf numFmtId="178"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8" fontId="7" fillId="0" borderId="0"/>
    <xf numFmtId="178" fontId="7" fillId="0" borderId="0"/>
    <xf numFmtId="178" fontId="7" fillId="0" borderId="0"/>
    <xf numFmtId="178" fontId="7" fillId="0" borderId="0"/>
    <xf numFmtId="0" fontId="7" fillId="0" borderId="0"/>
    <xf numFmtId="0" fontId="7" fillId="0" borderId="0"/>
    <xf numFmtId="0" fontId="7" fillId="0" borderId="0"/>
    <xf numFmtId="0" fontId="7" fillId="0" borderId="0"/>
    <xf numFmtId="0" fontId="7" fillId="0" borderId="0"/>
    <xf numFmtId="178" fontId="7" fillId="0" borderId="0"/>
    <xf numFmtId="178" fontId="7" fillId="0" borderId="0"/>
    <xf numFmtId="178" fontId="7" fillId="0" borderId="0"/>
    <xf numFmtId="178"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8" fontId="7" fillId="0" borderId="0"/>
    <xf numFmtId="0" fontId="7" fillId="0" borderId="0"/>
    <xf numFmtId="178" fontId="7" fillId="0" borderId="0"/>
    <xf numFmtId="178" fontId="7" fillId="0" borderId="0"/>
    <xf numFmtId="0" fontId="7" fillId="0" borderId="0"/>
    <xf numFmtId="178" fontId="7" fillId="0" borderId="0"/>
    <xf numFmtId="178" fontId="7" fillId="0" borderId="0"/>
    <xf numFmtId="0" fontId="7" fillId="0" borderId="0"/>
    <xf numFmtId="178" fontId="7" fillId="0" borderId="0"/>
    <xf numFmtId="0" fontId="7" fillId="0" borderId="0"/>
    <xf numFmtId="0" fontId="7" fillId="0" borderId="0"/>
    <xf numFmtId="0" fontId="7" fillId="0" borderId="0"/>
    <xf numFmtId="178" fontId="7" fillId="0" borderId="0"/>
    <xf numFmtId="0" fontId="7" fillId="0" borderId="0"/>
    <xf numFmtId="178" fontId="7" fillId="0" borderId="0"/>
    <xf numFmtId="0" fontId="7" fillId="0" borderId="0"/>
    <xf numFmtId="0" fontId="7" fillId="0" borderId="0"/>
    <xf numFmtId="0" fontId="7" fillId="0" borderId="0"/>
    <xf numFmtId="178" fontId="7" fillId="0" borderId="0"/>
    <xf numFmtId="178" fontId="7" fillId="0" borderId="0"/>
    <xf numFmtId="178" fontId="7" fillId="0" borderId="0"/>
    <xf numFmtId="178" fontId="7" fillId="0" borderId="0"/>
    <xf numFmtId="0" fontId="7" fillId="0" borderId="0"/>
    <xf numFmtId="0" fontId="7" fillId="0" borderId="0"/>
    <xf numFmtId="0" fontId="7" fillId="0" borderId="0"/>
    <xf numFmtId="0" fontId="7" fillId="0" borderId="0"/>
    <xf numFmtId="0" fontId="7" fillId="0" borderId="0"/>
    <xf numFmtId="178" fontId="7" fillId="0" borderId="0"/>
    <xf numFmtId="178" fontId="7" fillId="0" borderId="0"/>
    <xf numFmtId="178" fontId="7" fillId="0" borderId="0"/>
    <xf numFmtId="178"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8" fontId="7" fillId="0" borderId="0"/>
    <xf numFmtId="0" fontId="7" fillId="0" borderId="0"/>
    <xf numFmtId="178" fontId="7" fillId="0" borderId="0"/>
    <xf numFmtId="178" fontId="7" fillId="0" borderId="0"/>
    <xf numFmtId="0" fontId="7" fillId="0" borderId="0"/>
    <xf numFmtId="178" fontId="7" fillId="0" borderId="0"/>
    <xf numFmtId="178" fontId="7" fillId="0" borderId="0"/>
    <xf numFmtId="0" fontId="7" fillId="0" borderId="0"/>
    <xf numFmtId="178" fontId="7" fillId="0" borderId="0"/>
    <xf numFmtId="0" fontId="7" fillId="0" borderId="0"/>
    <xf numFmtId="0" fontId="7" fillId="0" borderId="0"/>
    <xf numFmtId="0" fontId="7" fillId="0" borderId="0"/>
    <xf numFmtId="178" fontId="7" fillId="0" borderId="0"/>
    <xf numFmtId="0" fontId="7" fillId="0" borderId="0"/>
    <xf numFmtId="178" fontId="7" fillId="0" borderId="0"/>
    <xf numFmtId="0" fontId="7" fillId="0" borderId="0"/>
    <xf numFmtId="0" fontId="7" fillId="0" borderId="0"/>
    <xf numFmtId="0" fontId="7" fillId="0" borderId="0"/>
    <xf numFmtId="178" fontId="7" fillId="0" borderId="0"/>
    <xf numFmtId="178" fontId="7" fillId="0" borderId="0"/>
    <xf numFmtId="178" fontId="7" fillId="0" borderId="0"/>
    <xf numFmtId="178" fontId="7" fillId="0" borderId="0"/>
    <xf numFmtId="0" fontId="7" fillId="0" borderId="0"/>
    <xf numFmtId="0" fontId="7" fillId="0" borderId="0"/>
    <xf numFmtId="0" fontId="7" fillId="0" borderId="0"/>
    <xf numFmtId="0" fontId="7" fillId="0" borderId="0"/>
    <xf numFmtId="0" fontId="7" fillId="0" borderId="0"/>
    <xf numFmtId="178" fontId="7" fillId="0" borderId="0"/>
    <xf numFmtId="178" fontId="7" fillId="0" borderId="0"/>
    <xf numFmtId="178" fontId="7" fillId="0" borderId="0"/>
    <xf numFmtId="178"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0" fillId="0" borderId="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8" fontId="6" fillId="0" borderId="0"/>
    <xf numFmtId="0" fontId="6" fillId="0" borderId="0"/>
    <xf numFmtId="178" fontId="6" fillId="0" borderId="0"/>
    <xf numFmtId="178" fontId="6" fillId="0" borderId="0"/>
    <xf numFmtId="0" fontId="6" fillId="0" borderId="0"/>
    <xf numFmtId="178" fontId="6" fillId="0" borderId="0"/>
    <xf numFmtId="178" fontId="6" fillId="0" borderId="0"/>
    <xf numFmtId="0" fontId="6" fillId="0" borderId="0"/>
    <xf numFmtId="178" fontId="6" fillId="0" borderId="0"/>
    <xf numFmtId="0" fontId="6" fillId="0" borderId="0"/>
    <xf numFmtId="0" fontId="6" fillId="0" borderId="0"/>
    <xf numFmtId="0" fontId="6" fillId="0" borderId="0"/>
    <xf numFmtId="178" fontId="6" fillId="0" borderId="0"/>
    <xf numFmtId="0" fontId="6" fillId="0" borderId="0"/>
    <xf numFmtId="178"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8" fontId="6" fillId="0" borderId="0"/>
    <xf numFmtId="0" fontId="6" fillId="0" borderId="0"/>
    <xf numFmtId="178" fontId="6" fillId="0" borderId="0"/>
    <xf numFmtId="178" fontId="6" fillId="0" borderId="0"/>
    <xf numFmtId="0" fontId="6" fillId="0" borderId="0"/>
    <xf numFmtId="178" fontId="6" fillId="0" borderId="0"/>
    <xf numFmtId="178" fontId="6" fillId="0" borderId="0"/>
    <xf numFmtId="0" fontId="6" fillId="0" borderId="0"/>
    <xf numFmtId="178" fontId="6" fillId="0" borderId="0"/>
    <xf numFmtId="0" fontId="6" fillId="0" borderId="0"/>
    <xf numFmtId="0" fontId="6" fillId="0" borderId="0"/>
    <xf numFmtId="0" fontId="6" fillId="0" borderId="0"/>
    <xf numFmtId="178" fontId="6" fillId="0" borderId="0"/>
    <xf numFmtId="0" fontId="6" fillId="0" borderId="0"/>
    <xf numFmtId="178"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8" fontId="6" fillId="0" borderId="0"/>
    <xf numFmtId="0" fontId="6" fillId="0" borderId="0"/>
    <xf numFmtId="178" fontId="6" fillId="0" borderId="0"/>
    <xf numFmtId="178" fontId="6" fillId="0" borderId="0"/>
    <xf numFmtId="0" fontId="6" fillId="0" borderId="0"/>
    <xf numFmtId="178" fontId="6" fillId="0" borderId="0"/>
    <xf numFmtId="178" fontId="6" fillId="0" borderId="0"/>
    <xf numFmtId="0" fontId="6" fillId="0" borderId="0"/>
    <xf numFmtId="178" fontId="6" fillId="0" borderId="0"/>
    <xf numFmtId="0" fontId="6" fillId="0" borderId="0"/>
    <xf numFmtId="0" fontId="6" fillId="0" borderId="0"/>
    <xf numFmtId="0" fontId="6" fillId="0" borderId="0"/>
    <xf numFmtId="178" fontId="6" fillId="0" borderId="0"/>
    <xf numFmtId="0" fontId="6" fillId="0" borderId="0"/>
    <xf numFmtId="178"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8" fontId="6" fillId="0" borderId="0"/>
    <xf numFmtId="0" fontId="6" fillId="0" borderId="0"/>
    <xf numFmtId="178" fontId="6" fillId="0" borderId="0"/>
    <xf numFmtId="178" fontId="6" fillId="0" borderId="0"/>
    <xf numFmtId="0" fontId="6" fillId="0" borderId="0"/>
    <xf numFmtId="178" fontId="6" fillId="0" borderId="0"/>
    <xf numFmtId="178" fontId="6" fillId="0" borderId="0"/>
    <xf numFmtId="0" fontId="6" fillId="0" borderId="0"/>
    <xf numFmtId="178" fontId="6" fillId="0" borderId="0"/>
    <xf numFmtId="0" fontId="6" fillId="0" borderId="0"/>
    <xf numFmtId="0" fontId="6" fillId="0" borderId="0"/>
    <xf numFmtId="0" fontId="6" fillId="0" borderId="0"/>
    <xf numFmtId="178" fontId="6" fillId="0" borderId="0"/>
    <xf numFmtId="0" fontId="6" fillId="0" borderId="0"/>
    <xf numFmtId="178"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8" fontId="6" fillId="0" borderId="0"/>
    <xf numFmtId="0" fontId="6" fillId="0" borderId="0"/>
    <xf numFmtId="178" fontId="6" fillId="0" borderId="0"/>
    <xf numFmtId="178" fontId="6" fillId="0" borderId="0"/>
    <xf numFmtId="0" fontId="6" fillId="0" borderId="0"/>
    <xf numFmtId="178" fontId="6" fillId="0" borderId="0"/>
    <xf numFmtId="178" fontId="6" fillId="0" borderId="0"/>
    <xf numFmtId="0" fontId="6" fillId="0" borderId="0"/>
    <xf numFmtId="178" fontId="6" fillId="0" borderId="0"/>
    <xf numFmtId="0" fontId="6" fillId="0" borderId="0"/>
    <xf numFmtId="0" fontId="6" fillId="0" borderId="0"/>
    <xf numFmtId="0" fontId="6" fillId="0" borderId="0"/>
    <xf numFmtId="178" fontId="6" fillId="0" borderId="0"/>
    <xf numFmtId="0" fontId="6" fillId="0" borderId="0"/>
    <xf numFmtId="178"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8" fontId="6" fillId="0" borderId="0"/>
    <xf numFmtId="0" fontId="6" fillId="0" borderId="0"/>
    <xf numFmtId="178" fontId="6" fillId="0" borderId="0"/>
    <xf numFmtId="178" fontId="6" fillId="0" borderId="0"/>
    <xf numFmtId="0" fontId="6" fillId="0" borderId="0"/>
    <xf numFmtId="178" fontId="6" fillId="0" borderId="0"/>
    <xf numFmtId="178" fontId="6" fillId="0" borderId="0"/>
    <xf numFmtId="0" fontId="6" fillId="0" borderId="0"/>
    <xf numFmtId="178" fontId="6" fillId="0" borderId="0"/>
    <xf numFmtId="0" fontId="6" fillId="0" borderId="0"/>
    <xf numFmtId="0" fontId="6" fillId="0" borderId="0"/>
    <xf numFmtId="0" fontId="6" fillId="0" borderId="0"/>
    <xf numFmtId="178" fontId="6" fillId="0" borderId="0"/>
    <xf numFmtId="0" fontId="6" fillId="0" borderId="0"/>
    <xf numFmtId="178"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8" fontId="6" fillId="0" borderId="0"/>
    <xf numFmtId="0" fontId="6" fillId="0" borderId="0"/>
    <xf numFmtId="178" fontId="6" fillId="0" borderId="0"/>
    <xf numFmtId="178" fontId="6" fillId="0" borderId="0"/>
    <xf numFmtId="0" fontId="6" fillId="0" borderId="0"/>
    <xf numFmtId="178" fontId="6" fillId="0" borderId="0"/>
    <xf numFmtId="178" fontId="6" fillId="0" borderId="0"/>
    <xf numFmtId="0" fontId="6" fillId="0" borderId="0"/>
    <xf numFmtId="178" fontId="6" fillId="0" borderId="0"/>
    <xf numFmtId="0" fontId="6" fillId="0" borderId="0"/>
    <xf numFmtId="0" fontId="6" fillId="0" borderId="0"/>
    <xf numFmtId="0" fontId="6" fillId="0" borderId="0"/>
    <xf numFmtId="178" fontId="6" fillId="0" borderId="0"/>
    <xf numFmtId="0" fontId="6" fillId="0" borderId="0"/>
    <xf numFmtId="178"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178" fontId="6" fillId="0" borderId="0"/>
    <xf numFmtId="178" fontId="6" fillId="0" borderId="0"/>
    <xf numFmtId="178" fontId="6" fillId="0" borderId="0"/>
    <xf numFmtId="178"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8" fontId="5" fillId="0" borderId="0"/>
    <xf numFmtId="178" fontId="5" fillId="0" borderId="0"/>
    <xf numFmtId="178" fontId="5" fillId="0" borderId="0"/>
    <xf numFmtId="178" fontId="5" fillId="0" borderId="0"/>
    <xf numFmtId="0" fontId="5" fillId="0" borderId="0"/>
    <xf numFmtId="0" fontId="5" fillId="0" borderId="0"/>
    <xf numFmtId="0" fontId="5" fillId="0" borderId="0"/>
    <xf numFmtId="0" fontId="5" fillId="0" borderId="0"/>
    <xf numFmtId="0" fontId="5" fillId="0" borderId="0"/>
    <xf numFmtId="178" fontId="5" fillId="0" borderId="0"/>
    <xf numFmtId="178" fontId="5" fillId="0" borderId="0"/>
    <xf numFmtId="178" fontId="5" fillId="0" borderId="0"/>
    <xf numFmtId="178"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0" fillId="0" borderId="0"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8" fontId="5" fillId="0" borderId="0"/>
    <xf numFmtId="178" fontId="5" fillId="0" borderId="0"/>
    <xf numFmtId="178" fontId="5" fillId="0" borderId="0"/>
    <xf numFmtId="178" fontId="5" fillId="0" borderId="0"/>
    <xf numFmtId="0" fontId="5" fillId="0" borderId="0"/>
    <xf numFmtId="0" fontId="5" fillId="0" borderId="0"/>
    <xf numFmtId="0" fontId="5" fillId="0" borderId="0"/>
    <xf numFmtId="0" fontId="5" fillId="0" borderId="0"/>
    <xf numFmtId="0" fontId="5" fillId="0" borderId="0"/>
    <xf numFmtId="178" fontId="5" fillId="0" borderId="0"/>
    <xf numFmtId="178" fontId="5" fillId="0" borderId="0"/>
    <xf numFmtId="178" fontId="5" fillId="0" borderId="0"/>
    <xf numFmtId="178"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8" fillId="0" borderId="0"/>
    <xf numFmtId="0" fontId="78" fillId="0" borderId="0"/>
    <xf numFmtId="0" fontId="5" fillId="0" borderId="0"/>
    <xf numFmtId="0" fontId="5" fillId="0" borderId="0"/>
    <xf numFmtId="0"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0" fontId="4" fillId="0" borderId="0"/>
    <xf numFmtId="178"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178" fontId="4" fillId="0" borderId="0"/>
    <xf numFmtId="178" fontId="4" fillId="0" borderId="0"/>
    <xf numFmtId="178" fontId="4" fillId="0" borderId="0"/>
    <xf numFmtId="178"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0" fontId="3" fillId="0" borderId="0"/>
    <xf numFmtId="178"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178" fontId="3" fillId="0" borderId="0"/>
    <xf numFmtId="178" fontId="3" fillId="0" borderId="0"/>
    <xf numFmtId="178" fontId="3" fillId="0" borderId="0"/>
    <xf numFmtId="17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0" fillId="0" borderId="0"/>
    <xf numFmtId="44" fontId="20" fillId="0" borderId="0" applyFont="0" applyFill="0" applyBorder="0" applyAlignment="0" applyProtection="0"/>
    <xf numFmtId="0" fontId="21" fillId="2" borderId="0" applyNumberFormat="0" applyBorder="0" applyAlignment="0" applyProtection="0"/>
    <xf numFmtId="0" fontId="22" fillId="3" borderId="0" applyNumberFormat="0" applyBorder="0" applyAlignment="0" applyProtection="0"/>
    <xf numFmtId="9" fontId="20" fillId="0" borderId="0" applyFont="0" applyFill="0" applyBorder="0" applyAlignment="0" applyProtection="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0" fontId="2" fillId="0" borderId="0"/>
    <xf numFmtId="178"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178" fontId="2" fillId="0" borderId="0"/>
    <xf numFmtId="178" fontId="2" fillId="0" borderId="0"/>
    <xf numFmtId="178" fontId="2" fillId="0" borderId="0"/>
    <xf numFmtId="17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932">
    <xf numFmtId="0" fontId="0" fillId="0" borderId="0" xfId="0"/>
    <xf numFmtId="0" fontId="0" fillId="0" borderId="0" xfId="0" applyAlignment="1">
      <alignment vertical="top"/>
    </xf>
    <xf numFmtId="0" fontId="0" fillId="0" borderId="0" xfId="0" applyAlignment="1">
      <alignment horizontal="center"/>
    </xf>
    <xf numFmtId="14" fontId="0" fillId="0" borderId="0" xfId="0" applyNumberFormat="1" applyAlignment="1">
      <alignment horizontal="center"/>
    </xf>
    <xf numFmtId="0" fontId="0" fillId="0" borderId="0" xfId="0" applyAlignment="1">
      <alignment horizontal="left"/>
    </xf>
    <xf numFmtId="0" fontId="27" fillId="0" borderId="0" xfId="0" applyFont="1" applyAlignment="1">
      <alignment vertical="center"/>
    </xf>
    <xf numFmtId="0" fontId="25" fillId="0" borderId="6" xfId="0" applyFont="1" applyBorder="1" applyAlignment="1">
      <alignment horizontal="right" vertical="center"/>
    </xf>
    <xf numFmtId="14" fontId="0" fillId="7" borderId="7" xfId="0" applyNumberFormat="1" applyFill="1" applyBorder="1" applyAlignment="1">
      <alignment horizontal="center" vertical="center"/>
    </xf>
    <xf numFmtId="14" fontId="0" fillId="0" borderId="8" xfId="0" applyNumberFormat="1" applyBorder="1" applyAlignment="1">
      <alignment horizontal="center" vertical="center"/>
    </xf>
    <xf numFmtId="0" fontId="0" fillId="0" borderId="0" xfId="0" applyAlignment="1">
      <alignment vertical="center"/>
    </xf>
    <xf numFmtId="0" fontId="23" fillId="0" borderId="0" xfId="0" applyFont="1" applyAlignment="1">
      <alignment vertical="center"/>
    </xf>
    <xf numFmtId="0" fontId="25" fillId="0" borderId="4" xfId="0" applyFont="1" applyBorder="1" applyAlignment="1">
      <alignment horizontal="right" vertical="center"/>
    </xf>
    <xf numFmtId="165" fontId="0" fillId="7" borderId="0" xfId="1" applyNumberFormat="1" applyFont="1" applyFill="1" applyBorder="1" applyAlignment="1">
      <alignment horizontal="center" vertical="center"/>
    </xf>
    <xf numFmtId="0" fontId="0" fillId="0" borderId="5" xfId="0" applyBorder="1" applyAlignment="1">
      <alignment horizontal="center" vertical="center"/>
    </xf>
    <xf numFmtId="0" fontId="0" fillId="0" borderId="0" xfId="0" applyAlignment="1">
      <alignment horizontal="right" vertical="center"/>
    </xf>
    <xf numFmtId="0" fontId="0" fillId="7" borderId="0" xfId="0" applyFill="1" applyBorder="1" applyAlignment="1">
      <alignment horizontal="center" vertical="center"/>
    </xf>
    <xf numFmtId="10" fontId="25" fillId="8" borderId="11" xfId="4" applyNumberFormat="1" applyFont="1" applyFill="1" applyBorder="1" applyAlignment="1">
      <alignment horizontal="center" vertical="center"/>
    </xf>
    <xf numFmtId="0" fontId="0" fillId="0" borderId="0" xfId="0" applyAlignment="1">
      <alignment horizontal="right"/>
    </xf>
    <xf numFmtId="0" fontId="25" fillId="0" borderId="2" xfId="0" applyFont="1" applyBorder="1" applyAlignment="1">
      <alignment horizontal="right"/>
    </xf>
    <xf numFmtId="0" fontId="0" fillId="7" borderId="1" xfId="0" applyFill="1" applyBorder="1" applyAlignment="1">
      <alignment horizontal="center"/>
    </xf>
    <xf numFmtId="0" fontId="0" fillId="0" borderId="3" xfId="0" applyBorder="1" applyAlignment="1">
      <alignment horizontal="center"/>
    </xf>
    <xf numFmtId="0" fontId="0" fillId="0" borderId="0" xfId="0" applyBorder="1" applyAlignment="1">
      <alignment horizontal="right"/>
    </xf>
    <xf numFmtId="0" fontId="0" fillId="0" borderId="0" xfId="0" applyBorder="1"/>
    <xf numFmtId="0" fontId="25" fillId="0" borderId="0" xfId="0" applyFont="1" applyAlignment="1">
      <alignment horizontal="center"/>
    </xf>
    <xf numFmtId="0" fontId="25" fillId="0" borderId="0" xfId="0" applyFont="1" applyAlignment="1">
      <alignment horizontal="center" wrapText="1"/>
    </xf>
    <xf numFmtId="0" fontId="0" fillId="0" borderId="0" xfId="0" applyNumberFormat="1" applyAlignment="1">
      <alignment horizontal="center"/>
    </xf>
    <xf numFmtId="165" fontId="0" fillId="0" borderId="0" xfId="1" applyNumberFormat="1" applyFont="1" applyAlignment="1"/>
    <xf numFmtId="166" fontId="0" fillId="7" borderId="0" xfId="4" applyNumberFormat="1" applyFont="1" applyFill="1" applyAlignment="1">
      <alignment horizontal="center"/>
    </xf>
    <xf numFmtId="166" fontId="0" fillId="0" borderId="0" xfId="4" applyNumberFormat="1" applyFont="1" applyAlignment="1">
      <alignment horizontal="center"/>
    </xf>
    <xf numFmtId="44" fontId="0" fillId="0" borderId="0" xfId="1" applyFont="1" applyAlignment="1"/>
    <xf numFmtId="10" fontId="0" fillId="8" borderId="0" xfId="4" applyNumberFormat="1" applyFont="1" applyFill="1" applyAlignment="1">
      <alignment horizontal="center"/>
    </xf>
    <xf numFmtId="44" fontId="0" fillId="0" borderId="0" xfId="0" applyNumberFormat="1" applyAlignment="1"/>
    <xf numFmtId="167" fontId="0" fillId="0" borderId="0" xfId="0" applyNumberFormat="1" applyAlignment="1">
      <alignment horizontal="center"/>
    </xf>
    <xf numFmtId="44" fontId="0" fillId="0" borderId="0" xfId="0" applyNumberFormat="1" applyAlignment="1">
      <alignment vertical="center"/>
    </xf>
    <xf numFmtId="0" fontId="0" fillId="0" borderId="0" xfId="0" applyNumberFormat="1" applyAlignment="1">
      <alignment vertical="center"/>
    </xf>
    <xf numFmtId="44" fontId="29" fillId="0" borderId="0" xfId="1" applyFont="1" applyAlignment="1"/>
    <xf numFmtId="44" fontId="29" fillId="0" borderId="0" xfId="0" applyNumberFormat="1" applyFont="1" applyAlignment="1"/>
    <xf numFmtId="0" fontId="0" fillId="0" borderId="0" xfId="0" applyAlignment="1"/>
    <xf numFmtId="14" fontId="0" fillId="0" borderId="0" xfId="0" applyNumberFormat="1" applyAlignment="1"/>
    <xf numFmtId="44" fontId="30" fillId="0" borderId="0" xfId="0" applyNumberFormat="1" applyFont="1" applyAlignment="1"/>
    <xf numFmtId="14" fontId="0" fillId="0" borderId="0" xfId="0" applyNumberFormat="1"/>
    <xf numFmtId="0" fontId="31" fillId="0" borderId="0" xfId="0" applyFont="1" applyAlignment="1">
      <alignment horizontal="center"/>
    </xf>
    <xf numFmtId="168" fontId="31" fillId="0" borderId="0" xfId="4" quotePrefix="1" applyNumberFormat="1" applyFont="1"/>
    <xf numFmtId="0" fontId="0" fillId="9" borderId="6" xfId="0" applyFill="1" applyBorder="1"/>
    <xf numFmtId="0" fontId="0" fillId="9" borderId="7" xfId="0" applyFill="1" applyBorder="1"/>
    <xf numFmtId="0" fontId="0" fillId="9" borderId="8" xfId="0" applyFill="1" applyBorder="1"/>
    <xf numFmtId="0" fontId="25" fillId="9" borderId="4" xfId="0" applyFont="1" applyFill="1" applyBorder="1" applyAlignment="1">
      <alignment horizontal="left" vertical="center"/>
    </xf>
    <xf numFmtId="0" fontId="25" fillId="9" borderId="0" xfId="0" applyFont="1" applyFill="1" applyBorder="1" applyAlignment="1">
      <alignment vertical="center"/>
    </xf>
    <xf numFmtId="169" fontId="0" fillId="7" borderId="9" xfId="4" applyNumberFormat="1" applyFont="1" applyFill="1" applyBorder="1" applyAlignment="1">
      <alignment horizontal="center" vertical="center"/>
    </xf>
    <xf numFmtId="0" fontId="0" fillId="9" borderId="5" xfId="0" applyFill="1" applyBorder="1" applyAlignment="1">
      <alignment vertical="center"/>
    </xf>
    <xf numFmtId="0" fontId="25" fillId="9" borderId="2" xfId="0" applyFont="1" applyFill="1" applyBorder="1" applyAlignment="1">
      <alignment horizontal="left" vertical="center"/>
    </xf>
    <xf numFmtId="0" fontId="25" fillId="9" borderId="1" xfId="0" applyFont="1" applyFill="1" applyBorder="1" applyAlignment="1">
      <alignment vertical="center"/>
    </xf>
    <xf numFmtId="165" fontId="0" fillId="9" borderId="1" xfId="1" applyNumberFormat="1" applyFont="1" applyFill="1" applyBorder="1" applyAlignment="1">
      <alignment vertical="center"/>
    </xf>
    <xf numFmtId="0" fontId="32" fillId="9" borderId="3" xfId="0" applyFont="1" applyFill="1" applyBorder="1" applyAlignment="1">
      <alignment horizontal="center" vertical="center"/>
    </xf>
    <xf numFmtId="165" fontId="0" fillId="0" borderId="0" xfId="0" applyNumberFormat="1" applyAlignment="1"/>
    <xf numFmtId="10" fontId="0" fillId="8" borderId="0" xfId="0" applyNumberFormat="1" applyFill="1" applyAlignment="1">
      <alignment horizontal="center"/>
    </xf>
    <xf numFmtId="0" fontId="25" fillId="10" borderId="0" xfId="0" applyFont="1" applyFill="1" applyAlignment="1">
      <alignment horizontal="center"/>
    </xf>
    <xf numFmtId="0" fontId="0" fillId="0" borderId="0" xfId="0" applyAlignment="1">
      <alignment horizontal="center" vertical="top"/>
    </xf>
    <xf numFmtId="10" fontId="0" fillId="7" borderId="1" xfId="4" applyNumberFormat="1" applyFont="1" applyFill="1" applyBorder="1" applyAlignment="1">
      <alignment horizontal="center" vertical="center"/>
    </xf>
    <xf numFmtId="165" fontId="0" fillId="0" borderId="0" xfId="1" applyNumberFormat="1" applyFont="1"/>
    <xf numFmtId="44" fontId="23" fillId="0" borderId="15" xfId="0" applyNumberFormat="1" applyFont="1" applyBorder="1"/>
    <xf numFmtId="14" fontId="33" fillId="13" borderId="0" xfId="0" applyNumberFormat="1" applyFont="1" applyFill="1" applyBorder="1" applyAlignment="1">
      <alignment horizontal="center"/>
    </xf>
    <xf numFmtId="14" fontId="33" fillId="13" borderId="16" xfId="0" applyNumberFormat="1" applyFont="1" applyFill="1" applyBorder="1" applyAlignment="1">
      <alignment horizontal="center"/>
    </xf>
    <xf numFmtId="166" fontId="25" fillId="13" borderId="15" xfId="4" applyNumberFormat="1" applyFont="1" applyFill="1" applyBorder="1" applyAlignment="1">
      <alignment horizontal="center"/>
    </xf>
    <xf numFmtId="165" fontId="0" fillId="0" borderId="0" xfId="1" applyNumberFormat="1" applyFont="1" applyBorder="1"/>
    <xf numFmtId="165" fontId="0" fillId="0" borderId="16" xfId="1" applyNumberFormat="1" applyFont="1" applyBorder="1"/>
    <xf numFmtId="166" fontId="25" fillId="13" borderId="17" xfId="4" applyNumberFormat="1" applyFont="1" applyFill="1" applyBorder="1" applyAlignment="1">
      <alignment horizontal="center"/>
    </xf>
    <xf numFmtId="165" fontId="0" fillId="0" borderId="18" xfId="1" applyNumberFormat="1" applyFont="1" applyBorder="1"/>
    <xf numFmtId="165" fontId="0" fillId="0" borderId="19" xfId="1" applyNumberFormat="1" applyFont="1" applyBorder="1"/>
    <xf numFmtId="0" fontId="28" fillId="0" borderId="0" xfId="0" applyFont="1" applyBorder="1" applyAlignment="1"/>
    <xf numFmtId="0" fontId="34" fillId="0" borderId="0" xfId="0" applyFont="1" applyAlignment="1">
      <alignment vertical="center"/>
    </xf>
    <xf numFmtId="0" fontId="34" fillId="0" borderId="0" xfId="0" applyFont="1"/>
    <xf numFmtId="0" fontId="0" fillId="0" borderId="0" xfId="0" applyAlignment="1">
      <alignment horizontal="center" vertical="center"/>
    </xf>
    <xf numFmtId="164" fontId="30" fillId="0" borderId="0" xfId="0" applyNumberFormat="1" applyFont="1" applyAlignment="1">
      <alignment vertical="center"/>
    </xf>
    <xf numFmtId="0" fontId="35" fillId="15" borderId="0" xfId="3" applyFont="1" applyFill="1" applyBorder="1" applyAlignment="1">
      <alignment horizontal="center"/>
    </xf>
    <xf numFmtId="0" fontId="36" fillId="0" borderId="0" xfId="0" applyFont="1" applyBorder="1" applyAlignment="1">
      <alignment vertical="center"/>
    </xf>
    <xf numFmtId="0" fontId="36" fillId="0" borderId="0" xfId="0" applyFont="1" applyFill="1" applyBorder="1" applyAlignment="1">
      <alignment vertical="center"/>
    </xf>
    <xf numFmtId="0" fontId="36" fillId="0" borderId="0" xfId="0" applyFont="1" applyAlignment="1">
      <alignment vertical="center"/>
    </xf>
    <xf numFmtId="0" fontId="35" fillId="15" borderId="0" xfId="3" applyFont="1" applyFill="1" applyBorder="1" applyAlignment="1">
      <alignment horizontal="center" wrapText="1"/>
    </xf>
    <xf numFmtId="0" fontId="35" fillId="15" borderId="21" xfId="3" applyFont="1" applyFill="1" applyBorder="1" applyAlignment="1">
      <alignment horizontal="center" wrapText="1"/>
    </xf>
    <xf numFmtId="0" fontId="37" fillId="15" borderId="0" xfId="3" applyFont="1" applyFill="1" applyBorder="1" applyAlignment="1">
      <alignment horizontal="center" wrapText="1"/>
    </xf>
    <xf numFmtId="169" fontId="39" fillId="0" borderId="0" xfId="0" applyNumberFormat="1" applyFont="1" applyBorder="1" applyAlignment="1">
      <alignment horizontal="center" vertical="center"/>
    </xf>
    <xf numFmtId="0" fontId="36" fillId="0" borderId="0" xfId="0" applyFont="1" applyBorder="1" applyAlignment="1">
      <alignment vertical="center" wrapText="1"/>
    </xf>
    <xf numFmtId="0" fontId="36" fillId="0" borderId="0" xfId="0" applyFont="1" applyBorder="1" applyAlignment="1">
      <alignment horizontal="center" vertical="center" wrapText="1"/>
    </xf>
    <xf numFmtId="0" fontId="36" fillId="0" borderId="0" xfId="0" applyFont="1" applyBorder="1" applyAlignment="1">
      <alignment horizontal="center" vertical="center"/>
    </xf>
    <xf numFmtId="14" fontId="36" fillId="0" borderId="0" xfId="1" applyNumberFormat="1" applyFont="1" applyBorder="1" applyAlignment="1">
      <alignment horizontal="center" vertical="center"/>
    </xf>
    <xf numFmtId="164" fontId="36" fillId="0" borderId="0" xfId="1" applyNumberFormat="1" applyFont="1" applyBorder="1" applyAlignment="1">
      <alignment vertical="center"/>
    </xf>
    <xf numFmtId="164" fontId="36" fillId="0" borderId="0" xfId="1" applyNumberFormat="1" applyFont="1" applyBorder="1" applyAlignment="1">
      <alignment horizontal="center" vertical="center"/>
    </xf>
    <xf numFmtId="44" fontId="36" fillId="0" borderId="0" xfId="1" applyFont="1" applyBorder="1" applyAlignment="1">
      <alignment horizontal="center" vertical="center"/>
    </xf>
    <xf numFmtId="169" fontId="39" fillId="4" borderId="0" xfId="0" applyNumberFormat="1" applyFont="1" applyFill="1" applyBorder="1" applyAlignment="1">
      <alignment horizontal="center" vertical="center"/>
    </xf>
    <xf numFmtId="0" fontId="36" fillId="4" borderId="0" xfId="0" applyFont="1" applyFill="1" applyBorder="1" applyAlignment="1">
      <alignment vertical="center" wrapText="1"/>
    </xf>
    <xf numFmtId="0" fontId="36" fillId="4" borderId="0" xfId="0" applyFont="1" applyFill="1" applyBorder="1" applyAlignment="1">
      <alignment horizontal="center" vertical="center" wrapText="1"/>
    </xf>
    <xf numFmtId="0" fontId="36" fillId="4" borderId="0" xfId="0" applyFont="1" applyFill="1" applyBorder="1" applyAlignment="1">
      <alignment horizontal="center" vertical="center"/>
    </xf>
    <xf numFmtId="14" fontId="36" fillId="4" borderId="0" xfId="1" applyNumberFormat="1" applyFont="1" applyFill="1" applyBorder="1" applyAlignment="1">
      <alignment horizontal="center" vertical="center"/>
    </xf>
    <xf numFmtId="164" fontId="36" fillId="4" borderId="0" xfId="1" applyNumberFormat="1" applyFont="1" applyFill="1" applyBorder="1" applyAlignment="1">
      <alignment vertical="center"/>
    </xf>
    <xf numFmtId="164" fontId="36" fillId="4" borderId="0" xfId="1" applyNumberFormat="1" applyFont="1" applyFill="1" applyBorder="1" applyAlignment="1">
      <alignment horizontal="center" vertical="center"/>
    </xf>
    <xf numFmtId="44" fontId="36" fillId="4" borderId="0" xfId="1" applyFont="1" applyFill="1" applyBorder="1" applyAlignment="1">
      <alignment horizontal="center" vertical="center"/>
    </xf>
    <xf numFmtId="0" fontId="36" fillId="0" borderId="0" xfId="0" applyFont="1" applyFill="1" applyAlignment="1">
      <alignment vertical="center"/>
    </xf>
    <xf numFmtId="0" fontId="36" fillId="0" borderId="0" xfId="0" applyFont="1" applyFill="1" applyBorder="1" applyAlignment="1">
      <alignment vertical="center" wrapText="1"/>
    </xf>
    <xf numFmtId="0" fontId="36" fillId="0" borderId="0" xfId="0" applyFont="1" applyAlignment="1">
      <alignment horizontal="center" vertical="center"/>
    </xf>
    <xf numFmtId="0" fontId="36" fillId="0" borderId="0" xfId="0" applyFont="1" applyFill="1" applyAlignment="1">
      <alignment horizontal="center" vertical="center"/>
    </xf>
    <xf numFmtId="0" fontId="39" fillId="11" borderId="17" xfId="0" applyFont="1" applyFill="1" applyBorder="1" applyAlignment="1">
      <alignment horizontal="center" vertical="center" wrapText="1"/>
    </xf>
    <xf numFmtId="0" fontId="39" fillId="11" borderId="18" xfId="0" applyFont="1" applyFill="1" applyBorder="1" applyAlignment="1">
      <alignment horizontal="center" vertical="center" wrapText="1"/>
    </xf>
    <xf numFmtId="0" fontId="39" fillId="11" borderId="19" xfId="0" applyFont="1" applyFill="1" applyBorder="1" applyAlignment="1">
      <alignment horizontal="center" vertical="center" wrapText="1"/>
    </xf>
    <xf numFmtId="0" fontId="36" fillId="11" borderId="15" xfId="0" applyFont="1" applyFill="1" applyBorder="1" applyAlignment="1">
      <alignment vertical="center" wrapText="1"/>
    </xf>
    <xf numFmtId="0" fontId="36" fillId="11" borderId="0" xfId="0" applyFont="1" applyFill="1" applyBorder="1" applyAlignment="1">
      <alignment vertical="center" wrapText="1"/>
    </xf>
    <xf numFmtId="0" fontId="36" fillId="11" borderId="0" xfId="0" applyFont="1" applyFill="1" applyBorder="1" applyAlignment="1">
      <alignment horizontal="center" vertical="center" wrapText="1"/>
    </xf>
    <xf numFmtId="0" fontId="36" fillId="11" borderId="16" xfId="0" applyFont="1" applyFill="1" applyBorder="1" applyAlignment="1">
      <alignment horizontal="center" vertical="center" wrapText="1"/>
    </xf>
    <xf numFmtId="0" fontId="36" fillId="0" borderId="20" xfId="0" applyFont="1" applyBorder="1" applyAlignment="1">
      <alignment horizontal="center" vertical="center" wrapText="1"/>
    </xf>
    <xf numFmtId="164" fontId="36" fillId="6" borderId="0" xfId="1" applyNumberFormat="1" applyFont="1" applyFill="1" applyBorder="1" applyAlignment="1">
      <alignment horizontal="center" vertical="center"/>
    </xf>
    <xf numFmtId="44" fontId="36" fillId="6" borderId="0" xfId="1" applyFont="1" applyFill="1" applyBorder="1" applyAlignment="1">
      <alignment horizontal="center" vertical="center"/>
    </xf>
    <xf numFmtId="0" fontId="36" fillId="0" borderId="0" xfId="0" applyFont="1" applyFill="1" applyBorder="1" applyAlignment="1">
      <alignment horizontal="center" vertical="center" wrapText="1"/>
    </xf>
    <xf numFmtId="0" fontId="36" fillId="11" borderId="0" xfId="0" quotePrefix="1" applyFont="1" applyFill="1" applyBorder="1" applyAlignment="1">
      <alignment vertical="center" wrapText="1"/>
    </xf>
    <xf numFmtId="169" fontId="39" fillId="0" borderId="0" xfId="0" applyNumberFormat="1" applyFont="1" applyFill="1" applyBorder="1" applyAlignment="1">
      <alignment horizontal="center" vertical="center"/>
    </xf>
    <xf numFmtId="14" fontId="36" fillId="0" borderId="0" xfId="1" applyNumberFormat="1" applyFont="1" applyFill="1" applyBorder="1" applyAlignment="1">
      <alignment horizontal="center" vertical="center"/>
    </xf>
    <xf numFmtId="164" fontId="36" fillId="0" borderId="0" xfId="1" applyNumberFormat="1" applyFont="1" applyFill="1" applyBorder="1" applyAlignment="1">
      <alignment vertical="center"/>
    </xf>
    <xf numFmtId="164" fontId="36" fillId="0" borderId="0" xfId="1" applyNumberFormat="1" applyFont="1" applyFill="1" applyBorder="1" applyAlignment="1">
      <alignment horizontal="center" vertical="center"/>
    </xf>
    <xf numFmtId="0" fontId="36" fillId="11" borderId="15" xfId="0" applyFont="1" applyFill="1" applyBorder="1" applyAlignment="1">
      <alignment vertical="center"/>
    </xf>
    <xf numFmtId="0" fontId="36" fillId="11" borderId="17" xfId="0" applyFont="1" applyFill="1" applyBorder="1" applyAlignment="1">
      <alignment vertical="center"/>
    </xf>
    <xf numFmtId="0" fontId="36" fillId="11" borderId="18" xfId="0" applyFont="1" applyFill="1" applyBorder="1" applyAlignment="1">
      <alignment vertical="center" wrapText="1"/>
    </xf>
    <xf numFmtId="0" fontId="36" fillId="11" borderId="18" xfId="0" applyFont="1" applyFill="1" applyBorder="1" applyAlignment="1">
      <alignment horizontal="center" vertical="center" wrapText="1"/>
    </xf>
    <xf numFmtId="0" fontId="36" fillId="11" borderId="19" xfId="0" applyFont="1" applyFill="1" applyBorder="1" applyAlignment="1">
      <alignment horizontal="center" vertical="center" wrapText="1"/>
    </xf>
    <xf numFmtId="169" fontId="39" fillId="0" borderId="10" xfId="0" applyNumberFormat="1" applyFont="1" applyFill="1" applyBorder="1" applyAlignment="1">
      <alignment horizontal="center" vertical="center"/>
    </xf>
    <xf numFmtId="0" fontId="36" fillId="0" borderId="0" xfId="0" applyFont="1" applyFill="1" applyBorder="1" applyAlignment="1">
      <alignment horizontal="center" vertical="center"/>
    </xf>
    <xf numFmtId="0" fontId="35" fillId="15" borderId="1" xfId="3" applyFont="1" applyFill="1" applyBorder="1" applyAlignment="1">
      <alignment horizontal="center" wrapText="1"/>
    </xf>
    <xf numFmtId="0" fontId="35" fillId="15" borderId="1" xfId="3" applyFont="1" applyFill="1" applyBorder="1" applyAlignment="1">
      <alignment horizontal="center"/>
    </xf>
    <xf numFmtId="0" fontId="35" fillId="15" borderId="22" xfId="3" applyFont="1" applyFill="1" applyBorder="1" applyAlignment="1">
      <alignment horizontal="center" wrapText="1"/>
    </xf>
    <xf numFmtId="0" fontId="37" fillId="15" borderId="1" xfId="3" applyFont="1" applyFill="1" applyBorder="1" applyAlignment="1">
      <alignment horizontal="center" wrapText="1"/>
    </xf>
    <xf numFmtId="164" fontId="36" fillId="0" borderId="0" xfId="0" applyNumberFormat="1" applyFont="1" applyAlignment="1">
      <alignment vertical="center"/>
    </xf>
    <xf numFmtId="164" fontId="40" fillId="4" borderId="0" xfId="1" applyNumberFormat="1" applyFont="1" applyFill="1" applyBorder="1" applyAlignment="1">
      <alignment horizontal="center" vertical="center"/>
    </xf>
    <xf numFmtId="164" fontId="42" fillId="0" borderId="0" xfId="1" applyNumberFormat="1" applyFont="1" applyFill="1" applyBorder="1" applyAlignment="1">
      <alignment vertical="center"/>
    </xf>
    <xf numFmtId="164" fontId="42" fillId="0" borderId="0" xfId="1" applyNumberFormat="1" applyFont="1" applyFill="1" applyBorder="1" applyAlignment="1">
      <alignment horizontal="center" vertical="center"/>
    </xf>
    <xf numFmtId="164" fontId="40" fillId="4" borderId="0" xfId="1" applyNumberFormat="1" applyFont="1" applyFill="1" applyBorder="1" applyAlignment="1">
      <alignment vertical="center"/>
    </xf>
    <xf numFmtId="164" fontId="42" fillId="0" borderId="0" xfId="1" applyNumberFormat="1" applyFont="1" applyBorder="1" applyAlignment="1">
      <alignment vertical="center"/>
    </xf>
    <xf numFmtId="164" fontId="42" fillId="4" borderId="0" xfId="1" applyNumberFormat="1" applyFont="1" applyFill="1" applyBorder="1" applyAlignment="1">
      <alignment vertical="center"/>
    </xf>
    <xf numFmtId="164" fontId="40" fillId="0" borderId="0" xfId="1" applyNumberFormat="1" applyFont="1" applyBorder="1" applyAlignment="1">
      <alignment horizontal="center" vertical="center"/>
    </xf>
    <xf numFmtId="164" fontId="40" fillId="0" borderId="0" xfId="1" applyNumberFormat="1" applyFont="1" applyFill="1" applyBorder="1" applyAlignment="1">
      <alignment vertical="center"/>
    </xf>
    <xf numFmtId="164" fontId="36" fillId="0" borderId="0" xfId="1" applyNumberFormat="1" applyFont="1" applyFill="1" applyBorder="1" applyAlignment="1">
      <alignment vertical="center" wrapText="1"/>
    </xf>
    <xf numFmtId="14" fontId="36" fillId="0" borderId="0" xfId="1" applyNumberFormat="1" applyFont="1" applyFill="1" applyBorder="1" applyAlignment="1">
      <alignment horizontal="center" vertical="center" wrapText="1"/>
    </xf>
    <xf numFmtId="164" fontId="36" fillId="0" borderId="0" xfId="1" applyNumberFormat="1" applyFont="1" applyFill="1" applyBorder="1" applyAlignment="1">
      <alignment horizontal="center" vertical="center" wrapText="1"/>
    </xf>
    <xf numFmtId="164" fontId="36" fillId="0" borderId="0" xfId="1" applyNumberFormat="1" applyFont="1" applyFill="1" applyBorder="1" applyAlignment="1">
      <alignment horizontal="left" vertical="center" wrapText="1"/>
    </xf>
    <xf numFmtId="164" fontId="42" fillId="0" borderId="0" xfId="1" applyNumberFormat="1" applyFont="1" applyBorder="1" applyAlignment="1">
      <alignment horizontal="center" vertical="center"/>
    </xf>
    <xf numFmtId="44" fontId="42" fillId="0" borderId="0" xfId="1" applyFont="1" applyBorder="1" applyAlignment="1">
      <alignment horizontal="center" vertical="center"/>
    </xf>
    <xf numFmtId="164" fontId="29" fillId="0" borderId="0" xfId="0" applyNumberFormat="1" applyFont="1" applyFill="1" applyAlignment="1">
      <alignment vertical="center"/>
    </xf>
    <xf numFmtId="44" fontId="36" fillId="0" borderId="0" xfId="0" applyNumberFormat="1" applyFont="1" applyAlignment="1">
      <alignment vertical="center"/>
    </xf>
    <xf numFmtId="0" fontId="36" fillId="0" borderId="24" xfId="0" applyFont="1" applyBorder="1" applyAlignment="1">
      <alignment vertical="center" wrapText="1"/>
    </xf>
    <xf numFmtId="0" fontId="36" fillId="4" borderId="25" xfId="0" applyFont="1" applyFill="1" applyBorder="1" applyAlignment="1">
      <alignment vertical="center" wrapText="1"/>
    </xf>
    <xf numFmtId="0" fontId="36" fillId="0" borderId="25" xfId="0" applyFont="1" applyBorder="1" applyAlignment="1">
      <alignment vertical="center" wrapText="1"/>
    </xf>
    <xf numFmtId="0" fontId="36" fillId="4" borderId="26" xfId="0" applyFont="1" applyFill="1" applyBorder="1" applyAlignment="1">
      <alignment vertical="center" wrapText="1"/>
    </xf>
    <xf numFmtId="0" fontId="36" fillId="0" borderId="24" xfId="0" applyFont="1" applyBorder="1" applyAlignment="1">
      <alignment horizontal="center" vertical="center" wrapText="1"/>
    </xf>
    <xf numFmtId="0" fontId="36" fillId="4" borderId="25" xfId="0" applyFont="1" applyFill="1" applyBorder="1" applyAlignment="1">
      <alignment horizontal="center" vertical="center" wrapText="1"/>
    </xf>
    <xf numFmtId="0" fontId="36" fillId="4" borderId="26" xfId="0" applyFont="1" applyFill="1" applyBorder="1" applyAlignment="1">
      <alignment horizontal="center" vertical="center" wrapText="1"/>
    </xf>
    <xf numFmtId="0" fontId="36" fillId="0" borderId="25" xfId="0" applyFont="1" applyFill="1" applyBorder="1" applyAlignment="1">
      <alignment horizontal="center" vertical="center" wrapText="1"/>
    </xf>
    <xf numFmtId="0" fontId="36" fillId="4" borderId="25" xfId="0" applyFont="1" applyFill="1" applyBorder="1" applyAlignment="1">
      <alignment horizontal="center" vertical="center"/>
    </xf>
    <xf numFmtId="0" fontId="36" fillId="4" borderId="26" xfId="0" applyFont="1" applyFill="1" applyBorder="1" applyAlignment="1">
      <alignment horizontal="center" vertical="center"/>
    </xf>
    <xf numFmtId="14" fontId="36" fillId="4" borderId="25" xfId="1" applyNumberFormat="1" applyFont="1" applyFill="1" applyBorder="1" applyAlignment="1">
      <alignment horizontal="center" vertical="center"/>
    </xf>
    <xf numFmtId="14" fontId="36" fillId="4" borderId="26" xfId="1" applyNumberFormat="1" applyFont="1" applyFill="1" applyBorder="1" applyAlignment="1">
      <alignment horizontal="center" vertical="center"/>
    </xf>
    <xf numFmtId="0" fontId="36" fillId="0" borderId="25" xfId="0" applyFont="1" applyBorder="1" applyAlignment="1">
      <alignment vertical="center"/>
    </xf>
    <xf numFmtId="0" fontId="38" fillId="17" borderId="27" xfId="3" applyFont="1" applyFill="1" applyBorder="1" applyAlignment="1">
      <alignment horizontal="center" wrapText="1"/>
    </xf>
    <xf numFmtId="169" fontId="36" fillId="4" borderId="25" xfId="0" applyNumberFormat="1" applyFont="1" applyFill="1" applyBorder="1" applyAlignment="1">
      <alignment horizontal="center" vertical="center" wrapText="1"/>
    </xf>
    <xf numFmtId="0" fontId="39" fillId="0" borderId="25" xfId="0" applyFont="1" applyFill="1" applyBorder="1" applyAlignment="1">
      <alignment horizontal="center" vertical="center" wrapText="1"/>
    </xf>
    <xf numFmtId="0" fontId="39" fillId="11" borderId="0" xfId="0" applyFont="1" applyFill="1" applyBorder="1" applyAlignment="1">
      <alignment horizontal="center" vertical="center" wrapText="1"/>
    </xf>
    <xf numFmtId="0" fontId="39" fillId="11" borderId="15" xfId="0" applyFont="1" applyFill="1" applyBorder="1" applyAlignment="1">
      <alignment horizontal="center" vertical="center" wrapText="1"/>
    </xf>
    <xf numFmtId="0" fontId="39" fillId="11" borderId="16" xfId="0" applyFont="1" applyFill="1" applyBorder="1" applyAlignment="1">
      <alignment horizontal="center" vertical="center" wrapText="1"/>
    </xf>
    <xf numFmtId="0" fontId="36" fillId="0" borderId="25" xfId="0" applyFont="1" applyFill="1" applyBorder="1" applyAlignment="1">
      <alignment vertical="center" wrapText="1"/>
    </xf>
    <xf numFmtId="0" fontId="39" fillId="0" borderId="25" xfId="0" applyFont="1" applyFill="1" applyBorder="1" applyAlignment="1">
      <alignment horizontal="center" vertical="center"/>
    </xf>
    <xf numFmtId="14" fontId="39" fillId="0" borderId="25" xfId="1" applyNumberFormat="1" applyFont="1" applyFill="1" applyBorder="1" applyAlignment="1">
      <alignment horizontal="center" vertical="center"/>
    </xf>
    <xf numFmtId="169" fontId="36" fillId="0" borderId="25" xfId="0" applyNumberFormat="1" applyFont="1" applyFill="1" applyBorder="1" applyAlignment="1">
      <alignment horizontal="center" vertical="center" wrapText="1"/>
    </xf>
    <xf numFmtId="0" fontId="47" fillId="0" borderId="0" xfId="0" applyFont="1"/>
    <xf numFmtId="0" fontId="46" fillId="17" borderId="0" xfId="2" applyFont="1" applyFill="1" applyBorder="1" applyAlignment="1">
      <alignment horizontal="center" vertical="center"/>
    </xf>
    <xf numFmtId="0" fontId="47" fillId="17" borderId="0" xfId="0" applyFont="1" applyFill="1" applyBorder="1"/>
    <xf numFmtId="0" fontId="38" fillId="12" borderId="0" xfId="2" applyFont="1" applyFill="1" applyBorder="1" applyAlignment="1">
      <alignment horizontal="center" vertical="center"/>
    </xf>
    <xf numFmtId="0" fontId="25" fillId="12" borderId="0" xfId="0" applyFont="1" applyFill="1" applyBorder="1" applyAlignment="1">
      <alignment horizontal="center" vertical="center"/>
    </xf>
    <xf numFmtId="44" fontId="36" fillId="0" borderId="0" xfId="1" applyNumberFormat="1" applyFont="1" applyBorder="1" applyAlignment="1">
      <alignment vertical="center"/>
    </xf>
    <xf numFmtId="44" fontId="36" fillId="4" borderId="0" xfId="1" applyNumberFormat="1" applyFont="1" applyFill="1" applyBorder="1" applyAlignment="1">
      <alignment vertical="center"/>
    </xf>
    <xf numFmtId="14" fontId="48" fillId="18" borderId="0" xfId="2" applyNumberFormat="1" applyFont="1" applyFill="1" applyBorder="1" applyAlignment="1">
      <alignment horizontal="center" vertical="center"/>
    </xf>
    <xf numFmtId="0" fontId="35" fillId="19" borderId="1" xfId="3" applyFont="1" applyFill="1" applyBorder="1" applyAlignment="1">
      <alignment horizontal="center" wrapText="1"/>
    </xf>
    <xf numFmtId="0" fontId="35" fillId="19" borderId="1" xfId="3" applyFont="1" applyFill="1" applyBorder="1" applyAlignment="1">
      <alignment horizontal="center"/>
    </xf>
    <xf numFmtId="0" fontId="46" fillId="0" borderId="0" xfId="0" applyFont="1" applyFill="1" applyAlignment="1">
      <alignment vertical="center"/>
    </xf>
    <xf numFmtId="171" fontId="36" fillId="4" borderId="0" xfId="1" applyNumberFormat="1" applyFont="1" applyFill="1" applyBorder="1" applyAlignment="1">
      <alignment horizontal="center" vertical="center"/>
    </xf>
    <xf numFmtId="0" fontId="35" fillId="19" borderId="22" xfId="3" applyFont="1" applyFill="1" applyBorder="1" applyAlignment="1">
      <alignment horizontal="center"/>
    </xf>
    <xf numFmtId="0" fontId="36" fillId="22" borderId="0" xfId="0" applyFont="1" applyFill="1" applyBorder="1" applyAlignment="1">
      <alignment horizontal="center" vertical="center" wrapText="1"/>
    </xf>
    <xf numFmtId="0" fontId="36" fillId="22" borderId="0" xfId="0" applyFont="1" applyFill="1" applyBorder="1" applyAlignment="1">
      <alignment horizontal="center" vertical="center"/>
    </xf>
    <xf numFmtId="14" fontId="39" fillId="22" borderId="0" xfId="1" applyNumberFormat="1" applyFont="1" applyFill="1" applyBorder="1" applyAlignment="1">
      <alignment horizontal="center" vertical="center"/>
    </xf>
    <xf numFmtId="0" fontId="45" fillId="21" borderId="0" xfId="3" applyFont="1" applyFill="1" applyBorder="1" applyAlignment="1">
      <alignment horizontal="center" vertical="center" wrapText="1"/>
    </xf>
    <xf numFmtId="0" fontId="45" fillId="21" borderId="0" xfId="3" applyFont="1" applyFill="1" applyBorder="1" applyAlignment="1">
      <alignment horizontal="center" vertical="center"/>
    </xf>
    <xf numFmtId="44" fontId="46" fillId="21" borderId="0" xfId="1" applyFont="1" applyFill="1" applyBorder="1" applyAlignment="1">
      <alignment horizontal="center" vertical="center"/>
    </xf>
    <xf numFmtId="44" fontId="36" fillId="0" borderId="0" xfId="1" applyNumberFormat="1" applyFont="1" applyBorder="1" applyAlignment="1">
      <alignment horizontal="center" vertical="center"/>
    </xf>
    <xf numFmtId="44" fontId="36" fillId="4" borderId="0" xfId="1" applyNumberFormat="1" applyFont="1" applyFill="1" applyBorder="1" applyAlignment="1">
      <alignment horizontal="center" vertical="center"/>
    </xf>
    <xf numFmtId="44" fontId="36" fillId="0" borderId="0" xfId="1" applyNumberFormat="1" applyFont="1" applyFill="1" applyBorder="1" applyAlignment="1">
      <alignment vertical="center"/>
    </xf>
    <xf numFmtId="44" fontId="36" fillId="0" borderId="0" xfId="1" applyNumberFormat="1" applyFont="1" applyFill="1" applyBorder="1" applyAlignment="1">
      <alignment horizontal="center" vertical="center"/>
    </xf>
    <xf numFmtId="44" fontId="40" fillId="0" borderId="0" xfId="1" applyNumberFormat="1" applyFont="1" applyBorder="1" applyAlignment="1">
      <alignment horizontal="center" vertical="center"/>
    </xf>
    <xf numFmtId="44" fontId="36" fillId="22" borderId="0" xfId="1" applyNumberFormat="1" applyFont="1" applyFill="1" applyBorder="1" applyAlignment="1">
      <alignment horizontal="center" vertical="center"/>
    </xf>
    <xf numFmtId="44" fontId="40" fillId="4" borderId="0" xfId="1" applyNumberFormat="1" applyFont="1" applyFill="1" applyBorder="1" applyAlignment="1">
      <alignment horizontal="center" vertical="center"/>
    </xf>
    <xf numFmtId="10" fontId="0" fillId="0" borderId="0" xfId="4" applyNumberFormat="1" applyFont="1" applyAlignment="1">
      <alignment horizontal="center"/>
    </xf>
    <xf numFmtId="44" fontId="0" fillId="0" borderId="0" xfId="1" applyFont="1"/>
    <xf numFmtId="44" fontId="29" fillId="0" borderId="0" xfId="1" applyFont="1"/>
    <xf numFmtId="10" fontId="43" fillId="0" borderId="0" xfId="4" applyNumberFormat="1" applyFont="1" applyAlignment="1">
      <alignment horizontal="center"/>
    </xf>
    <xf numFmtId="0" fontId="50" fillId="0" borderId="0" xfId="0" applyFont="1" applyFill="1" applyAlignment="1">
      <alignment vertical="center"/>
    </xf>
    <xf numFmtId="0" fontId="50" fillId="0" borderId="0" xfId="0" applyFont="1" applyFill="1" applyAlignment="1">
      <alignment horizontal="center" vertical="center"/>
    </xf>
    <xf numFmtId="44" fontId="30" fillId="0" borderId="0" xfId="1" applyFont="1"/>
    <xf numFmtId="10" fontId="30" fillId="0" borderId="0" xfId="4" applyNumberFormat="1" applyFont="1" applyAlignment="1">
      <alignment horizontal="center"/>
    </xf>
    <xf numFmtId="0" fontId="24" fillId="0" borderId="0" xfId="0" applyFont="1" applyAlignment="1">
      <alignment horizontal="center"/>
    </xf>
    <xf numFmtId="0" fontId="24" fillId="0" borderId="0" xfId="0" applyFont="1" applyAlignment="1">
      <alignment horizontal="center" wrapText="1"/>
    </xf>
    <xf numFmtId="44" fontId="47" fillId="0" borderId="0" xfId="1" applyFont="1"/>
    <xf numFmtId="10" fontId="47" fillId="0" borderId="0" xfId="4" applyNumberFormat="1" applyFont="1" applyAlignment="1">
      <alignment horizontal="center"/>
    </xf>
    <xf numFmtId="44" fontId="51" fillId="0" borderId="0" xfId="1" applyFont="1"/>
    <xf numFmtId="10" fontId="52" fillId="0" borderId="0" xfId="4" applyNumberFormat="1" applyFont="1" applyAlignment="1">
      <alignment horizontal="center"/>
    </xf>
    <xf numFmtId="44" fontId="53" fillId="0" borderId="0" xfId="1" applyFont="1"/>
    <xf numFmtId="44" fontId="54" fillId="0" borderId="0" xfId="1" applyFont="1"/>
    <xf numFmtId="10" fontId="54" fillId="0" borderId="0" xfId="4" applyNumberFormat="1" applyFont="1" applyAlignment="1">
      <alignment horizontal="center"/>
    </xf>
    <xf numFmtId="0" fontId="47" fillId="0" borderId="0" xfId="0" applyFont="1" applyAlignment="1">
      <alignment wrapText="1"/>
    </xf>
    <xf numFmtId="171" fontId="40" fillId="0" borderId="0" xfId="0" applyNumberFormat="1" applyFont="1" applyAlignment="1">
      <alignment vertical="center"/>
    </xf>
    <xf numFmtId="44" fontId="0" fillId="0" borderId="0" xfId="0" applyNumberFormat="1" applyFill="1" applyAlignment="1">
      <alignment vertical="center"/>
    </xf>
    <xf numFmtId="0" fontId="55" fillId="0" borderId="0" xfId="0" applyFont="1" applyAlignment="1">
      <alignment horizontal="center"/>
    </xf>
    <xf numFmtId="16" fontId="0" fillId="0" borderId="0" xfId="0" applyNumberFormat="1"/>
    <xf numFmtId="44" fontId="0" fillId="0" borderId="0" xfId="0" applyNumberFormat="1" applyFont="1" applyFill="1" applyBorder="1" applyAlignment="1">
      <alignment vertical="center"/>
    </xf>
    <xf numFmtId="44" fontId="0" fillId="0" borderId="0" xfId="1" quotePrefix="1" applyNumberFormat="1" applyFont="1" applyFill="1"/>
    <xf numFmtId="44" fontId="29" fillId="0" borderId="0" xfId="1" quotePrefix="1" applyNumberFormat="1" applyFont="1" applyFill="1"/>
    <xf numFmtId="173" fontId="29" fillId="0" borderId="0" xfId="1" quotePrefix="1" applyNumberFormat="1" applyFont="1" applyFill="1"/>
    <xf numFmtId="0" fontId="45" fillId="17" borderId="35" xfId="3" applyFont="1" applyFill="1" applyBorder="1" applyAlignment="1">
      <alignment horizontal="center" wrapText="1"/>
    </xf>
    <xf numFmtId="0" fontId="45" fillId="17" borderId="34" xfId="3" applyFont="1" applyFill="1" applyBorder="1" applyAlignment="1">
      <alignment horizontal="center" wrapText="1"/>
    </xf>
    <xf numFmtId="0" fontId="38" fillId="17" borderId="34" xfId="3" applyFont="1" applyFill="1" applyBorder="1" applyAlignment="1">
      <alignment horizontal="center" wrapText="1"/>
    </xf>
    <xf numFmtId="0" fontId="45" fillId="17" borderId="27" xfId="3" applyFont="1" applyFill="1" applyBorder="1" applyAlignment="1">
      <alignment horizontal="center" wrapText="1"/>
    </xf>
    <xf numFmtId="0" fontId="38" fillId="12" borderId="0" xfId="2" applyFont="1" applyFill="1" applyBorder="1" applyAlignment="1">
      <alignment horizontal="center" vertical="center"/>
    </xf>
    <xf numFmtId="170" fontId="44" fillId="16" borderId="23" xfId="3" applyNumberFormat="1" applyFont="1" applyFill="1" applyBorder="1" applyAlignment="1">
      <alignment horizontal="center" vertical="center"/>
    </xf>
    <xf numFmtId="44" fontId="0" fillId="23" borderId="0" xfId="1" quotePrefix="1" applyNumberFormat="1" applyFont="1" applyFill="1"/>
    <xf numFmtId="173" fontId="29" fillId="23" borderId="0" xfId="1" quotePrefix="1" applyNumberFormat="1" applyFont="1" applyFill="1"/>
    <xf numFmtId="0" fontId="57" fillId="0" borderId="0" xfId="0" applyFont="1" applyBorder="1" applyAlignment="1">
      <alignment horizontal="center"/>
    </xf>
    <xf numFmtId="0" fontId="57" fillId="0" borderId="37" xfId="0" applyFont="1" applyBorder="1" applyAlignment="1">
      <alignment horizontal="center"/>
    </xf>
    <xf numFmtId="0" fontId="57" fillId="0" borderId="38" xfId="0" applyFont="1" applyBorder="1" applyAlignment="1">
      <alignment horizontal="center"/>
    </xf>
    <xf numFmtId="170" fontId="58" fillId="0" borderId="39" xfId="0" applyNumberFormat="1" applyFont="1" applyBorder="1" applyAlignment="1">
      <alignment horizontal="center"/>
    </xf>
    <xf numFmtId="0" fontId="57" fillId="0" borderId="40" xfId="0" applyFont="1" applyBorder="1" applyAlignment="1">
      <alignment horizontal="center"/>
    </xf>
    <xf numFmtId="170" fontId="58" fillId="0" borderId="36" xfId="0" applyNumberFormat="1" applyFont="1" applyBorder="1" applyAlignment="1">
      <alignment horizontal="center"/>
    </xf>
    <xf numFmtId="170" fontId="58" fillId="0" borderId="36" xfId="0" applyNumberFormat="1" applyFont="1" applyBorder="1" applyAlignment="1">
      <alignment horizontal="center" vertical="center"/>
    </xf>
    <xf numFmtId="0" fontId="36" fillId="0" borderId="25" xfId="0" applyFont="1" applyBorder="1" applyAlignment="1">
      <alignment horizontal="left" vertical="center"/>
    </xf>
    <xf numFmtId="169" fontId="36" fillId="4" borderId="25" xfId="0" applyNumberFormat="1" applyFont="1" applyFill="1" applyBorder="1" applyAlignment="1">
      <alignment horizontal="left" vertical="center" wrapText="1"/>
    </xf>
    <xf numFmtId="0" fontId="36" fillId="4" borderId="25" xfId="0" applyFont="1" applyFill="1" applyBorder="1" applyAlignment="1">
      <alignment horizontal="left" vertical="center" wrapText="1"/>
    </xf>
    <xf numFmtId="0" fontId="39" fillId="0" borderId="25" xfId="0" applyFont="1" applyFill="1" applyBorder="1" applyAlignment="1">
      <alignment horizontal="left" vertical="center" wrapText="1"/>
    </xf>
    <xf numFmtId="0" fontId="57" fillId="0" borderId="44" xfId="0" applyFont="1" applyBorder="1" applyAlignment="1">
      <alignment horizontal="center"/>
    </xf>
    <xf numFmtId="0" fontId="57" fillId="0" borderId="45" xfId="0" applyFont="1" applyBorder="1" applyAlignment="1">
      <alignment horizontal="center"/>
    </xf>
    <xf numFmtId="0" fontId="57" fillId="0" borderId="46" xfId="0" applyFont="1" applyBorder="1" applyAlignment="1">
      <alignment horizontal="center"/>
    </xf>
    <xf numFmtId="0" fontId="57" fillId="0" borderId="47" xfId="0" applyFont="1" applyBorder="1" applyAlignment="1">
      <alignment horizontal="center"/>
    </xf>
    <xf numFmtId="0" fontId="57" fillId="0" borderId="48" xfId="0" applyFont="1" applyBorder="1" applyAlignment="1">
      <alignment horizontal="center"/>
    </xf>
    <xf numFmtId="0" fontId="57" fillId="0" borderId="49" xfId="0" applyFont="1" applyBorder="1" applyAlignment="1">
      <alignment horizontal="center"/>
    </xf>
    <xf numFmtId="0" fontId="28" fillId="5" borderId="0" xfId="0" applyFont="1" applyFill="1"/>
    <xf numFmtId="0" fontId="19" fillId="0" borderId="0" xfId="5"/>
    <xf numFmtId="0" fontId="63" fillId="0" borderId="0" xfId="5" applyFont="1" applyAlignment="1">
      <alignment horizontal="center"/>
    </xf>
    <xf numFmtId="0" fontId="63" fillId="0" borderId="0" xfId="5" applyFont="1" applyAlignment="1">
      <alignment horizontal="center" wrapText="1"/>
    </xf>
    <xf numFmtId="172" fontId="19" fillId="0" borderId="0" xfId="5" applyNumberFormat="1" applyAlignment="1">
      <alignment horizontal="center" vertical="center"/>
    </xf>
    <xf numFmtId="167" fontId="19" fillId="0" borderId="0" xfId="5" applyNumberFormat="1" applyAlignment="1">
      <alignment horizontal="center" vertical="center"/>
    </xf>
    <xf numFmtId="174" fontId="19" fillId="0" borderId="0" xfId="5" applyNumberFormat="1" applyAlignment="1">
      <alignment horizontal="center" vertical="center"/>
    </xf>
    <xf numFmtId="172" fontId="19" fillId="0" borderId="0" xfId="5" applyNumberFormat="1" applyFont="1" applyAlignment="1">
      <alignment horizontal="center" vertical="center"/>
    </xf>
    <xf numFmtId="0" fontId="19" fillId="0" borderId="0" xfId="5" applyAlignment="1">
      <alignment horizontal="center" vertical="center"/>
    </xf>
    <xf numFmtId="0" fontId="19" fillId="0" borderId="0" xfId="5" applyAlignment="1">
      <alignment vertical="center"/>
    </xf>
    <xf numFmtId="172" fontId="59" fillId="0" borderId="0" xfId="5" applyNumberFormat="1" applyFont="1" applyAlignment="1">
      <alignment horizontal="center" vertical="center"/>
    </xf>
    <xf numFmtId="167" fontId="59" fillId="0" borderId="0" xfId="5" applyNumberFormat="1" applyFont="1" applyAlignment="1">
      <alignment horizontal="center" vertical="center"/>
    </xf>
    <xf numFmtId="174" fontId="59" fillId="0" borderId="0" xfId="5" applyNumberFormat="1" applyFont="1" applyAlignment="1">
      <alignment horizontal="center" vertical="center"/>
    </xf>
    <xf numFmtId="172" fontId="59" fillId="0" borderId="0" xfId="5" applyNumberFormat="1" applyFont="1" applyAlignment="1">
      <alignment horizontal="center" vertical="center" wrapText="1"/>
    </xf>
    <xf numFmtId="0" fontId="59" fillId="0" borderId="0" xfId="5" applyFont="1" applyAlignment="1">
      <alignment vertical="center"/>
    </xf>
    <xf numFmtId="0" fontId="59" fillId="0" borderId="0" xfId="5" applyFont="1"/>
    <xf numFmtId="175" fontId="19" fillId="0" borderId="0" xfId="5" applyNumberFormat="1"/>
    <xf numFmtId="0" fontId="66" fillId="0" borderId="0" xfId="5" applyFont="1"/>
    <xf numFmtId="174" fontId="19" fillId="0" borderId="0" xfId="5" applyNumberFormat="1"/>
    <xf numFmtId="0" fontId="68" fillId="0" borderId="0" xfId="5" applyFont="1"/>
    <xf numFmtId="177" fontId="36" fillId="0" borderId="0" xfId="1" applyNumberFormat="1" applyFont="1" applyBorder="1" applyAlignment="1">
      <alignment vertical="center"/>
    </xf>
    <xf numFmtId="177" fontId="36" fillId="4" borderId="0" xfId="1" applyNumberFormat="1" applyFont="1" applyFill="1" applyBorder="1" applyAlignment="1">
      <alignment vertical="center"/>
    </xf>
    <xf numFmtId="10" fontId="0" fillId="0" borderId="0" xfId="4" applyNumberFormat="1" applyFont="1"/>
    <xf numFmtId="176" fontId="30" fillId="0" borderId="0" xfId="1" applyNumberFormat="1" applyFont="1"/>
    <xf numFmtId="0" fontId="46" fillId="4" borderId="0" xfId="0" applyFont="1" applyFill="1" applyAlignment="1">
      <alignment vertical="center"/>
    </xf>
    <xf numFmtId="0" fontId="36" fillId="25" borderId="0" xfId="0" applyFont="1" applyFill="1" applyAlignment="1">
      <alignment vertical="center"/>
    </xf>
    <xf numFmtId="0" fontId="36" fillId="4" borderId="0" xfId="0" applyFont="1" applyFill="1" applyAlignment="1">
      <alignment vertical="center"/>
    </xf>
    <xf numFmtId="177" fontId="36" fillId="4" borderId="0" xfId="1" applyNumberFormat="1" applyFont="1" applyFill="1" applyBorder="1" applyAlignment="1">
      <alignment horizontal="center" vertical="center"/>
    </xf>
    <xf numFmtId="44" fontId="46" fillId="4" borderId="0" xfId="1" applyNumberFormat="1" applyFont="1" applyFill="1" applyBorder="1" applyAlignment="1">
      <alignment horizontal="center" vertical="center"/>
    </xf>
    <xf numFmtId="7" fontId="46" fillId="22" borderId="11" xfId="1" applyNumberFormat="1" applyFont="1" applyFill="1" applyBorder="1" applyAlignment="1">
      <alignment horizontal="center" vertical="center"/>
    </xf>
    <xf numFmtId="44" fontId="36" fillId="25" borderId="0" xfId="1" applyNumberFormat="1" applyFont="1" applyFill="1" applyBorder="1" applyAlignment="1">
      <alignment horizontal="center" vertical="center"/>
    </xf>
    <xf numFmtId="44" fontId="46" fillId="25" borderId="0" xfId="1" applyNumberFormat="1" applyFont="1" applyFill="1" applyBorder="1" applyAlignment="1">
      <alignment horizontal="center" vertical="center"/>
    </xf>
    <xf numFmtId="44" fontId="77" fillId="4" borderId="51" xfId="1" applyFont="1" applyFill="1" applyBorder="1" applyAlignment="1" applyProtection="1">
      <alignment horizontal="right" vertical="center" wrapText="1"/>
    </xf>
    <xf numFmtId="44" fontId="40" fillId="0" borderId="0" xfId="1" applyFont="1" applyBorder="1" applyAlignment="1">
      <alignment horizontal="center" vertical="center"/>
    </xf>
    <xf numFmtId="44" fontId="77" fillId="0" borderId="51" xfId="1" applyFont="1" applyFill="1" applyBorder="1" applyAlignment="1" applyProtection="1">
      <alignment horizontal="right" vertical="center" wrapText="1"/>
    </xf>
    <xf numFmtId="44" fontId="36" fillId="22" borderId="0" xfId="1" applyNumberFormat="1" applyFont="1" applyFill="1" applyBorder="1" applyAlignment="1">
      <alignment horizontal="center" vertical="center"/>
    </xf>
    <xf numFmtId="44" fontId="36" fillId="0" borderId="0" xfId="1" applyNumberFormat="1" applyFont="1" applyBorder="1" applyAlignment="1">
      <alignment horizontal="center" vertical="center"/>
    </xf>
    <xf numFmtId="44" fontId="36" fillId="4" borderId="0" xfId="1" applyNumberFormat="1" applyFont="1" applyFill="1" applyBorder="1" applyAlignment="1">
      <alignment horizontal="center" vertical="center"/>
    </xf>
    <xf numFmtId="44" fontId="36" fillId="22" borderId="0" xfId="1" applyNumberFormat="1" applyFont="1" applyFill="1" applyBorder="1" applyAlignment="1">
      <alignment horizontal="center" vertical="center"/>
    </xf>
    <xf numFmtId="44" fontId="36" fillId="0" borderId="0" xfId="1" applyNumberFormat="1" applyFont="1" applyBorder="1" applyAlignment="1">
      <alignment horizontal="center" vertical="center"/>
    </xf>
    <xf numFmtId="44" fontId="36" fillId="4" borderId="0" xfId="1" applyNumberFormat="1" applyFont="1" applyFill="1" applyBorder="1" applyAlignment="1">
      <alignment horizontal="center" vertical="center"/>
    </xf>
    <xf numFmtId="44" fontId="40" fillId="4" borderId="0" xfId="1" applyNumberFormat="1" applyFont="1" applyFill="1" applyBorder="1" applyAlignment="1">
      <alignment horizontal="center" vertical="center"/>
    </xf>
    <xf numFmtId="44" fontId="36" fillId="22" borderId="0" xfId="1" applyNumberFormat="1" applyFont="1" applyFill="1" applyBorder="1" applyAlignment="1">
      <alignment horizontal="center" vertical="center"/>
    </xf>
    <xf numFmtId="44" fontId="36" fillId="0" borderId="0" xfId="1" applyNumberFormat="1" applyFont="1" applyBorder="1" applyAlignment="1">
      <alignment horizontal="center" vertical="center"/>
    </xf>
    <xf numFmtId="44" fontId="36" fillId="4" borderId="0" xfId="1" applyNumberFormat="1" applyFont="1" applyFill="1" applyBorder="1" applyAlignment="1">
      <alignment horizontal="center" vertical="center"/>
    </xf>
    <xf numFmtId="44" fontId="36" fillId="22" borderId="0" xfId="1" applyNumberFormat="1" applyFont="1" applyFill="1" applyBorder="1" applyAlignment="1">
      <alignment horizontal="center" vertical="center"/>
    </xf>
    <xf numFmtId="44" fontId="40" fillId="4" borderId="0" xfId="1" applyNumberFormat="1" applyFont="1" applyFill="1" applyBorder="1" applyAlignment="1">
      <alignment horizontal="center" vertical="center"/>
    </xf>
    <xf numFmtId="171" fontId="36" fillId="4" borderId="0" xfId="1" applyNumberFormat="1" applyFont="1" applyFill="1" applyBorder="1" applyAlignment="1">
      <alignment horizontal="center" vertical="center"/>
    </xf>
    <xf numFmtId="44" fontId="0" fillId="0" borderId="0" xfId="0" applyNumberFormat="1"/>
    <xf numFmtId="179" fontId="0" fillId="0" borderId="0" xfId="4" applyNumberFormat="1" applyFont="1"/>
    <xf numFmtId="171" fontId="36" fillId="4" borderId="0" xfId="1" applyNumberFormat="1" applyFont="1" applyFill="1" applyBorder="1" applyAlignment="1">
      <alignment vertical="center"/>
    </xf>
    <xf numFmtId="171" fontId="36" fillId="0" borderId="0" xfId="1" applyNumberFormat="1" applyFont="1" applyBorder="1" applyAlignment="1">
      <alignment vertical="center"/>
    </xf>
    <xf numFmtId="177" fontId="0" fillId="0" borderId="0" xfId="1" quotePrefix="1" applyNumberFormat="1" applyFont="1" applyFill="1"/>
    <xf numFmtId="0" fontId="38" fillId="12" borderId="0" xfId="2" applyFont="1" applyFill="1" applyBorder="1" applyAlignment="1">
      <alignment horizontal="center" vertical="center"/>
    </xf>
    <xf numFmtId="0" fontId="38" fillId="12" borderId="0" xfId="2" applyFont="1" applyFill="1" applyBorder="1" applyAlignment="1">
      <alignment horizontal="center" vertical="center"/>
    </xf>
    <xf numFmtId="0" fontId="36" fillId="0" borderId="0" xfId="0" applyFont="1" applyAlignment="1">
      <alignment vertical="center" wrapText="1"/>
    </xf>
    <xf numFmtId="0" fontId="47" fillId="0" borderId="0" xfId="0" applyFont="1" applyAlignment="1">
      <alignment horizontal="left" wrapText="1"/>
    </xf>
    <xf numFmtId="0" fontId="85" fillId="5" borderId="17" xfId="0" applyFont="1" applyFill="1" applyBorder="1" applyAlignment="1">
      <alignment horizontal="center" vertical="center"/>
    </xf>
    <xf numFmtId="0" fontId="85" fillId="5" borderId="18" xfId="0" applyFont="1" applyFill="1" applyBorder="1" applyAlignment="1">
      <alignment horizontal="center" vertical="center"/>
    </xf>
    <xf numFmtId="0" fontId="85" fillId="5" borderId="19" xfId="0" applyFont="1" applyFill="1" applyBorder="1" applyAlignment="1">
      <alignment horizontal="center" vertical="center"/>
    </xf>
    <xf numFmtId="0" fontId="87" fillId="11" borderId="15" xfId="0" applyFont="1" applyFill="1" applyBorder="1" applyAlignment="1">
      <alignment vertical="center" wrapText="1"/>
    </xf>
    <xf numFmtId="0" fontId="87" fillId="11" borderId="0" xfId="0" applyFont="1" applyFill="1" applyBorder="1" applyAlignment="1">
      <alignment horizontal="center" vertical="center" wrapText="1"/>
    </xf>
    <xf numFmtId="0" fontId="87" fillId="11" borderId="0" xfId="0" applyFont="1" applyFill="1" applyBorder="1" applyAlignment="1">
      <alignment vertical="center" wrapText="1"/>
    </xf>
    <xf numFmtId="0" fontId="87" fillId="11" borderId="16" xfId="0" applyFont="1" applyFill="1" applyBorder="1" applyAlignment="1">
      <alignment horizontal="center" vertical="center" wrapText="1"/>
    </xf>
    <xf numFmtId="0" fontId="87" fillId="11" borderId="15" xfId="0" applyFont="1" applyFill="1" applyBorder="1" applyAlignment="1">
      <alignment vertical="center"/>
    </xf>
    <xf numFmtId="0" fontId="87" fillId="11" borderId="17" xfId="0" applyFont="1" applyFill="1" applyBorder="1" applyAlignment="1">
      <alignment vertical="center" wrapText="1"/>
    </xf>
    <xf numFmtId="0" fontId="87" fillId="11" borderId="18" xfId="0" applyFont="1" applyFill="1" applyBorder="1" applyAlignment="1">
      <alignment vertical="center" wrapText="1"/>
    </xf>
    <xf numFmtId="0" fontId="87" fillId="11" borderId="18" xfId="0" applyFont="1" applyFill="1" applyBorder="1" applyAlignment="1">
      <alignment horizontal="center" vertical="center" wrapText="1"/>
    </xf>
    <xf numFmtId="0" fontId="87" fillId="11" borderId="19" xfId="0" applyFont="1" applyFill="1" applyBorder="1" applyAlignment="1">
      <alignment horizontal="center" vertical="center" wrapText="1"/>
    </xf>
    <xf numFmtId="0" fontId="85" fillId="11" borderId="12" xfId="0" applyFont="1" applyFill="1" applyBorder="1" applyAlignment="1">
      <alignment horizontal="center" vertical="center" wrapText="1"/>
    </xf>
    <xf numFmtId="0" fontId="85" fillId="11" borderId="13" xfId="0" applyFont="1" applyFill="1" applyBorder="1" applyAlignment="1">
      <alignment horizontal="center" vertical="center" wrapText="1"/>
    </xf>
    <xf numFmtId="0" fontId="85" fillId="11" borderId="14" xfId="0" applyFont="1" applyFill="1" applyBorder="1" applyAlignment="1">
      <alignment horizontal="center" vertical="center" wrapText="1"/>
    </xf>
    <xf numFmtId="0" fontId="86" fillId="11" borderId="0" xfId="0" applyFont="1" applyFill="1" applyBorder="1"/>
    <xf numFmtId="0" fontId="86" fillId="11" borderId="15" xfId="0" applyFont="1" applyFill="1" applyBorder="1"/>
    <xf numFmtId="0" fontId="86" fillId="11" borderId="16" xfId="0" applyFont="1" applyFill="1" applyBorder="1"/>
    <xf numFmtId="8" fontId="36" fillId="0" borderId="0" xfId="0" applyNumberFormat="1" applyFont="1" applyAlignment="1">
      <alignment vertical="center"/>
    </xf>
    <xf numFmtId="8" fontId="0" fillId="0" borderId="0" xfId="0" applyNumberFormat="1"/>
    <xf numFmtId="0" fontId="36" fillId="0" borderId="0" xfId="0" applyFont="1" applyBorder="1" applyAlignment="1">
      <alignment horizontal="center" vertical="center" wrapText="1"/>
    </xf>
    <xf numFmtId="0" fontId="36" fillId="0" borderId="0" xfId="0" applyFont="1" applyBorder="1" applyAlignment="1">
      <alignment horizontal="center" vertical="center"/>
    </xf>
    <xf numFmtId="0" fontId="36" fillId="4" borderId="0" xfId="0" applyFont="1" applyFill="1" applyBorder="1" applyAlignment="1">
      <alignment horizontal="center" vertical="center" wrapText="1"/>
    </xf>
    <xf numFmtId="0" fontId="36" fillId="4" borderId="0" xfId="0" applyFont="1" applyFill="1" applyBorder="1" applyAlignment="1">
      <alignment horizontal="center" vertical="center"/>
    </xf>
    <xf numFmtId="44" fontId="40" fillId="4" borderId="0" xfId="1" applyFont="1" applyFill="1" applyBorder="1" applyAlignment="1">
      <alignment horizontal="center" vertical="center"/>
    </xf>
    <xf numFmtId="0" fontId="36" fillId="0" borderId="0" xfId="0" applyFont="1" applyBorder="1" applyAlignment="1">
      <alignment horizontal="center" vertical="center"/>
    </xf>
    <xf numFmtId="0" fontId="36" fillId="4" borderId="0" xfId="0" applyFont="1" applyFill="1" applyBorder="1" applyAlignment="1">
      <alignment horizontal="center" vertical="center" wrapText="1"/>
    </xf>
    <xf numFmtId="0" fontId="36" fillId="4" borderId="0" xfId="0" applyFont="1" applyFill="1" applyBorder="1" applyAlignment="1">
      <alignment horizontal="center" vertical="center"/>
    </xf>
    <xf numFmtId="178" fontId="46" fillId="17" borderId="0" xfId="2" applyNumberFormat="1" applyFont="1" applyFill="1" applyBorder="1" applyAlignment="1">
      <alignment horizontal="center" vertical="center"/>
    </xf>
    <xf numFmtId="0" fontId="82" fillId="0" borderId="0" xfId="0" applyFont="1" applyAlignment="1">
      <alignment vertical="top"/>
    </xf>
    <xf numFmtId="0" fontId="88" fillId="0" borderId="0" xfId="0" applyFont="1" applyAlignment="1">
      <alignment vertical="center"/>
    </xf>
    <xf numFmtId="0" fontId="89" fillId="0" borderId="0" xfId="0" applyFont="1" applyAlignment="1">
      <alignment vertical="center"/>
    </xf>
    <xf numFmtId="0" fontId="91" fillId="0" borderId="0" xfId="0" applyFont="1" applyAlignment="1">
      <alignment horizontal="left" vertical="center" indent="4"/>
    </xf>
    <xf numFmtId="0" fontId="91" fillId="0" borderId="0" xfId="0" applyFont="1" applyAlignment="1">
      <alignment horizontal="left" vertical="center" indent="8"/>
    </xf>
    <xf numFmtId="0" fontId="93" fillId="0" borderId="0" xfId="0" applyFont="1" applyAlignment="1">
      <alignment vertical="center"/>
    </xf>
    <xf numFmtId="0" fontId="94" fillId="0" borderId="0" xfId="0" applyFont="1" applyAlignment="1">
      <alignment vertical="center"/>
    </xf>
    <xf numFmtId="0" fontId="91" fillId="0" borderId="0" xfId="0" applyFont="1" applyAlignment="1">
      <alignment horizontal="left" vertical="center" indent="1"/>
    </xf>
    <xf numFmtId="0" fontId="92" fillId="0" borderId="0" xfId="0" applyFont="1" applyAlignment="1">
      <alignment horizontal="left" vertical="center" indent="12"/>
    </xf>
    <xf numFmtId="0" fontId="91" fillId="0" borderId="0" xfId="0" applyFont="1" applyAlignment="1">
      <alignment vertical="center"/>
    </xf>
    <xf numFmtId="0" fontId="91" fillId="0" borderId="0" xfId="0" applyFont="1" applyAlignment="1">
      <alignment horizontal="left" vertical="center" indent="15"/>
    </xf>
    <xf numFmtId="0" fontId="93" fillId="0" borderId="0" xfId="0" applyFont="1" applyAlignment="1">
      <alignment horizontal="left" vertical="center" indent="1"/>
    </xf>
    <xf numFmtId="181" fontId="25" fillId="0" borderId="0" xfId="0" applyNumberFormat="1" applyFont="1" applyAlignment="1">
      <alignment horizontal="center" vertical="center"/>
    </xf>
    <xf numFmtId="181" fontId="56" fillId="0" borderId="0" xfId="0" applyNumberFormat="1" applyFont="1" applyAlignment="1">
      <alignment horizontal="center" vertical="center"/>
    </xf>
    <xf numFmtId="181" fontId="0" fillId="0" borderId="0" xfId="0" applyNumberFormat="1"/>
    <xf numFmtId="16" fontId="46" fillId="17" borderId="0" xfId="2" applyNumberFormat="1" applyFont="1" applyFill="1" applyBorder="1" applyAlignment="1">
      <alignment horizontal="center" vertical="center"/>
    </xf>
    <xf numFmtId="0" fontId="25" fillId="12" borderId="0" xfId="0" applyFont="1" applyFill="1" applyBorder="1" applyAlignment="1">
      <alignment horizontal="center" vertical="center"/>
    </xf>
    <xf numFmtId="0" fontId="38" fillId="12" borderId="0" xfId="2" applyFont="1" applyFill="1" applyBorder="1" applyAlignment="1">
      <alignment horizontal="center" vertical="center"/>
    </xf>
    <xf numFmtId="0" fontId="38" fillId="12" borderId="0" xfId="2" applyFont="1" applyFill="1" applyBorder="1" applyAlignment="1">
      <alignment horizontal="center" vertical="center"/>
    </xf>
    <xf numFmtId="44" fontId="36" fillId="0" borderId="0" xfId="1" applyFont="1" applyBorder="1" applyAlignment="1">
      <alignment vertical="center"/>
    </xf>
    <xf numFmtId="44" fontId="36" fillId="4" borderId="0" xfId="1" applyFont="1" applyFill="1" applyBorder="1" applyAlignment="1">
      <alignment vertical="center"/>
    </xf>
    <xf numFmtId="44" fontId="36" fillId="0" borderId="0" xfId="1" applyFont="1" applyFill="1" applyBorder="1" applyAlignment="1">
      <alignment vertical="center"/>
    </xf>
    <xf numFmtId="44" fontId="36" fillId="0" borderId="0" xfId="1" applyFont="1" applyFill="1" applyBorder="1" applyAlignment="1">
      <alignment horizontal="center" vertical="center"/>
    </xf>
    <xf numFmtId="44" fontId="36" fillId="22" borderId="0" xfId="1" applyFont="1" applyFill="1" applyBorder="1" applyAlignment="1">
      <alignment horizontal="center" vertical="center"/>
    </xf>
    <xf numFmtId="44" fontId="0" fillId="0" borderId="12" xfId="1" applyFont="1" applyBorder="1"/>
    <xf numFmtId="44" fontId="0" fillId="0" borderId="13" xfId="1" applyFont="1" applyBorder="1"/>
    <xf numFmtId="44" fontId="0" fillId="0" borderId="14" xfId="1" applyFont="1" applyBorder="1"/>
    <xf numFmtId="44" fontId="0" fillId="0" borderId="15" xfId="1" applyFont="1" applyBorder="1"/>
    <xf numFmtId="44" fontId="0" fillId="0" borderId="0" xfId="1" applyFont="1" applyBorder="1"/>
    <xf numFmtId="44" fontId="0" fillId="0" borderId="16" xfId="1" applyFont="1" applyBorder="1"/>
    <xf numFmtId="44" fontId="0" fillId="0" borderId="18" xfId="1" applyFont="1" applyBorder="1"/>
    <xf numFmtId="44" fontId="0" fillId="0" borderId="33" xfId="1" applyFont="1" applyBorder="1"/>
    <xf numFmtId="44" fontId="0" fillId="0" borderId="52" xfId="1" applyFont="1" applyBorder="1"/>
    <xf numFmtId="44" fontId="0" fillId="0" borderId="53" xfId="1" applyFont="1" applyBorder="1"/>
    <xf numFmtId="181" fontId="0" fillId="0" borderId="33" xfId="0" applyNumberFormat="1" applyBorder="1"/>
    <xf numFmtId="181" fontId="0" fillId="0" borderId="52" xfId="0" applyNumberFormat="1" applyBorder="1"/>
    <xf numFmtId="181" fontId="0" fillId="0" borderId="53" xfId="0" applyNumberFormat="1" applyBorder="1"/>
    <xf numFmtId="176" fontId="0" fillId="0" borderId="18" xfId="1" applyNumberFormat="1" applyFont="1" applyBorder="1"/>
    <xf numFmtId="16" fontId="36" fillId="0" borderId="0" xfId="0" applyNumberFormat="1" applyFont="1" applyAlignment="1">
      <alignment vertical="center"/>
    </xf>
    <xf numFmtId="7" fontId="36" fillId="4" borderId="25" xfId="0" applyNumberFormat="1" applyFont="1" applyFill="1" applyBorder="1" applyAlignment="1">
      <alignment vertical="center" wrapText="1"/>
    </xf>
    <xf numFmtId="0" fontId="36" fillId="4" borderId="54" xfId="0" applyFont="1" applyFill="1" applyBorder="1" applyAlignment="1">
      <alignment vertical="center" wrapText="1"/>
    </xf>
    <xf numFmtId="0" fontId="36" fillId="4" borderId="55" xfId="0" applyFont="1" applyFill="1" applyBorder="1" applyAlignment="1">
      <alignment vertical="center" wrapText="1"/>
    </xf>
    <xf numFmtId="0" fontId="36" fillId="0" borderId="54" xfId="0" applyFont="1" applyBorder="1" applyAlignment="1">
      <alignment vertical="center" wrapText="1"/>
    </xf>
    <xf numFmtId="0" fontId="36" fillId="0" borderId="55" xfId="0" applyFont="1" applyBorder="1" applyAlignment="1">
      <alignment vertical="center" wrapText="1"/>
    </xf>
    <xf numFmtId="44" fontId="36" fillId="4" borderId="25" xfId="0" applyNumberFormat="1" applyFont="1" applyFill="1" applyBorder="1" applyAlignment="1">
      <alignment vertical="center" wrapText="1"/>
    </xf>
    <xf numFmtId="44" fontId="36" fillId="0" borderId="25" xfId="0" applyNumberFormat="1" applyFont="1" applyBorder="1" applyAlignment="1">
      <alignment vertical="center" wrapText="1"/>
    </xf>
    <xf numFmtId="44" fontId="36" fillId="4" borderId="56" xfId="0" applyNumberFormat="1" applyFont="1" applyFill="1" applyBorder="1" applyAlignment="1">
      <alignment vertical="center" wrapText="1"/>
    </xf>
    <xf numFmtId="171" fontId="36" fillId="0" borderId="0" xfId="0" applyNumberFormat="1" applyFont="1" applyAlignment="1">
      <alignment vertical="center"/>
    </xf>
    <xf numFmtId="44" fontId="36" fillId="4" borderId="0" xfId="0" applyNumberFormat="1" applyFont="1" applyFill="1" applyBorder="1" applyAlignment="1">
      <alignment vertical="center" wrapText="1"/>
    </xf>
    <xf numFmtId="44" fontId="36" fillId="0" borderId="0" xfId="0" applyNumberFormat="1" applyFont="1" applyBorder="1" applyAlignment="1">
      <alignment vertical="center" wrapText="1"/>
    </xf>
    <xf numFmtId="14" fontId="38" fillId="12" borderId="0" xfId="2" applyNumberFormat="1" applyFont="1" applyFill="1" applyBorder="1" applyAlignment="1">
      <alignment horizontal="center" vertical="center"/>
    </xf>
    <xf numFmtId="14" fontId="35" fillId="19" borderId="1" xfId="3" applyNumberFormat="1" applyFont="1" applyFill="1" applyBorder="1" applyAlignment="1">
      <alignment horizontal="center" wrapText="1"/>
    </xf>
    <xf numFmtId="14" fontId="45" fillId="21" borderId="0" xfId="3" applyNumberFormat="1" applyFont="1" applyFill="1" applyBorder="1" applyAlignment="1">
      <alignment horizontal="center" vertical="center" wrapText="1"/>
    </xf>
    <xf numFmtId="14" fontId="24" fillId="0" borderId="0" xfId="0" applyNumberFormat="1" applyFont="1" applyAlignment="1">
      <alignment horizontal="center" wrapText="1"/>
    </xf>
    <xf numFmtId="14" fontId="36" fillId="4" borderId="0" xfId="0" applyNumberFormat="1" applyFont="1" applyFill="1" applyBorder="1" applyAlignment="1">
      <alignment horizontal="center" vertical="center" wrapText="1"/>
    </xf>
    <xf numFmtId="14" fontId="36" fillId="0" borderId="0" xfId="0" applyNumberFormat="1" applyFont="1" applyBorder="1" applyAlignment="1">
      <alignment horizontal="center" vertical="center" wrapText="1"/>
    </xf>
    <xf numFmtId="14" fontId="0" fillId="0" borderId="0" xfId="0" applyNumberFormat="1" applyAlignment="1">
      <alignment horizontal="center" vertical="center"/>
    </xf>
    <xf numFmtId="14" fontId="36" fillId="0" borderId="0" xfId="0" applyNumberFormat="1" applyFont="1" applyAlignment="1">
      <alignment horizontal="center" vertical="center"/>
    </xf>
    <xf numFmtId="14" fontId="40" fillId="0" borderId="0" xfId="0" applyNumberFormat="1" applyFont="1" applyAlignment="1">
      <alignment horizontal="center" vertical="center"/>
    </xf>
    <xf numFmtId="14" fontId="53" fillId="0" borderId="0" xfId="1" applyNumberFormat="1" applyFont="1" applyAlignment="1">
      <alignment horizontal="center"/>
    </xf>
    <xf numFmtId="0" fontId="47" fillId="0" borderId="0" xfId="0" applyFont="1" applyAlignment="1">
      <alignment horizontal="center"/>
    </xf>
    <xf numFmtId="44" fontId="47" fillId="0" borderId="0" xfId="1" applyFont="1" applyAlignment="1">
      <alignment horizontal="center"/>
    </xf>
    <xf numFmtId="44" fontId="51" fillId="0" borderId="0" xfId="1" applyFont="1" applyAlignment="1">
      <alignment horizontal="center"/>
    </xf>
    <xf numFmtId="44" fontId="54" fillId="0" borderId="0" xfId="1" applyFont="1" applyAlignment="1">
      <alignment horizontal="center"/>
    </xf>
    <xf numFmtId="0" fontId="47" fillId="0" borderId="0" xfId="0" applyFont="1" applyAlignment="1">
      <alignment horizontal="center" wrapText="1"/>
    </xf>
    <xf numFmtId="0" fontId="36" fillId="11" borderId="15" xfId="0" applyFont="1" applyFill="1" applyBorder="1" applyAlignment="1">
      <alignment horizontal="center" vertical="center" wrapText="1"/>
    </xf>
    <xf numFmtId="0" fontId="36" fillId="11" borderId="15" xfId="0" applyFont="1" applyFill="1" applyBorder="1" applyAlignment="1">
      <alignment horizontal="center" vertical="center"/>
    </xf>
    <xf numFmtId="10" fontId="0" fillId="0" borderId="0" xfId="0" applyNumberFormat="1"/>
    <xf numFmtId="43" fontId="38" fillId="12" borderId="0" xfId="2" applyNumberFormat="1" applyFont="1" applyFill="1" applyBorder="1" applyAlignment="1">
      <alignment horizontal="center" vertical="center"/>
    </xf>
    <xf numFmtId="43" fontId="35" fillId="19" borderId="1" xfId="3" applyNumberFormat="1" applyFont="1" applyFill="1" applyBorder="1" applyAlignment="1">
      <alignment horizontal="center" wrapText="1"/>
    </xf>
    <xf numFmtId="43" fontId="36" fillId="0" borderId="0" xfId="1" applyNumberFormat="1" applyFont="1" applyBorder="1" applyAlignment="1">
      <alignment horizontal="center" vertical="center"/>
    </xf>
    <xf numFmtId="43" fontId="36" fillId="4" borderId="0" xfId="1" applyNumberFormat="1" applyFont="1" applyFill="1" applyBorder="1" applyAlignment="1">
      <alignment horizontal="center" vertical="center"/>
    </xf>
    <xf numFmtId="43" fontId="45" fillId="21" borderId="0" xfId="3" applyNumberFormat="1" applyFont="1" applyFill="1" applyBorder="1" applyAlignment="1">
      <alignment horizontal="center" vertical="center" wrapText="1"/>
    </xf>
    <xf numFmtId="43" fontId="46" fillId="21" borderId="0" xfId="1" applyNumberFormat="1" applyFont="1" applyFill="1" applyBorder="1" applyAlignment="1">
      <alignment horizontal="center" vertical="center"/>
    </xf>
    <xf numFmtId="43" fontId="0" fillId="0" borderId="0" xfId="0" applyNumberFormat="1"/>
    <xf numFmtId="43" fontId="36" fillId="0" borderId="0" xfId="0" applyNumberFormat="1" applyFont="1" applyAlignment="1">
      <alignment vertical="center"/>
    </xf>
    <xf numFmtId="0" fontId="36" fillId="0" borderId="25" xfId="0" applyFont="1" applyBorder="1" applyAlignment="1">
      <alignment horizontal="center" vertical="center" wrapText="1"/>
    </xf>
    <xf numFmtId="0" fontId="36" fillId="0" borderId="55" xfId="0" applyFont="1" applyBorder="1" applyAlignment="1">
      <alignment horizontal="center" vertical="center" wrapText="1"/>
    </xf>
    <xf numFmtId="14" fontId="36" fillId="4" borderId="25" xfId="0" applyNumberFormat="1" applyFont="1" applyFill="1" applyBorder="1" applyAlignment="1">
      <alignment horizontal="center" vertical="center" wrapText="1"/>
    </xf>
    <xf numFmtId="0" fontId="36" fillId="4" borderId="55" xfId="0" applyFont="1" applyFill="1" applyBorder="1" applyAlignment="1">
      <alignment horizontal="center" vertical="center" wrapText="1"/>
    </xf>
    <xf numFmtId="0" fontId="39" fillId="0" borderId="4" xfId="0" applyFont="1" applyFill="1" applyBorder="1" applyAlignment="1">
      <alignment horizontal="center" vertical="center" wrapText="1"/>
    </xf>
    <xf numFmtId="44" fontId="36" fillId="0" borderId="5" xfId="0" applyNumberFormat="1" applyFont="1" applyBorder="1" applyAlignment="1">
      <alignment vertical="center" wrapText="1"/>
    </xf>
    <xf numFmtId="44" fontId="36" fillId="0" borderId="57" xfId="0" applyNumberFormat="1" applyFont="1" applyBorder="1" applyAlignment="1">
      <alignment vertical="center" wrapText="1"/>
    </xf>
    <xf numFmtId="44" fontId="36" fillId="0" borderId="58" xfId="0" applyNumberFormat="1" applyFont="1" applyBorder="1" applyAlignment="1">
      <alignment vertical="center" wrapText="1"/>
    </xf>
    <xf numFmtId="44" fontId="36" fillId="0" borderId="59" xfId="0" applyNumberFormat="1" applyFont="1" applyBorder="1" applyAlignment="1">
      <alignment vertical="center" wrapText="1"/>
    </xf>
    <xf numFmtId="44" fontId="36" fillId="4" borderId="26" xfId="0" applyNumberFormat="1" applyFont="1" applyFill="1" applyBorder="1" applyAlignment="1">
      <alignment vertical="center" wrapText="1"/>
    </xf>
    <xf numFmtId="0" fontId="77" fillId="26" borderId="0" xfId="0" applyFont="1" applyFill="1" applyBorder="1" applyAlignment="1">
      <alignment vertical="center" wrapText="1"/>
    </xf>
    <xf numFmtId="0" fontId="77" fillId="26" borderId="0" xfId="0" applyFont="1" applyFill="1" applyBorder="1" applyAlignment="1">
      <alignment horizontal="center" vertical="center" wrapText="1"/>
    </xf>
    <xf numFmtId="14" fontId="77" fillId="26" borderId="0" xfId="1" applyNumberFormat="1" applyFont="1" applyFill="1" applyBorder="1" applyAlignment="1">
      <alignment horizontal="center" vertical="center"/>
    </xf>
    <xf numFmtId="0" fontId="77" fillId="0" borderId="0" xfId="0" applyFont="1" applyFill="1" applyBorder="1" applyAlignment="1">
      <alignment vertical="center" wrapText="1"/>
    </xf>
    <xf numFmtId="0" fontId="77" fillId="0" borderId="0" xfId="0" applyFont="1" applyFill="1" applyBorder="1" applyAlignment="1">
      <alignment horizontal="center" vertical="center" wrapText="1"/>
    </xf>
    <xf numFmtId="14" fontId="77" fillId="0" borderId="0" xfId="1" applyNumberFormat="1" applyFont="1" applyFill="1" applyBorder="1" applyAlignment="1">
      <alignment horizontal="center" vertical="center"/>
    </xf>
    <xf numFmtId="0" fontId="77" fillId="27" borderId="0" xfId="0" applyFont="1" applyFill="1" applyBorder="1" applyAlignment="1">
      <alignment horizontal="center" vertical="center" wrapText="1"/>
    </xf>
    <xf numFmtId="0" fontId="77" fillId="27" borderId="0" xfId="0" applyFont="1" applyFill="1" applyBorder="1" applyAlignment="1">
      <alignment horizontal="center" vertical="center"/>
    </xf>
    <xf numFmtId="14" fontId="96" fillId="27" borderId="0" xfId="1" applyNumberFormat="1" applyFont="1" applyFill="1" applyBorder="1" applyAlignment="1">
      <alignment horizontal="center" vertical="center"/>
    </xf>
    <xf numFmtId="44" fontId="36" fillId="4" borderId="0" xfId="1" applyNumberFormat="1" applyFont="1" applyFill="1" applyBorder="1" applyAlignment="1">
      <alignment vertical="center" wrapText="1"/>
    </xf>
    <xf numFmtId="44" fontId="77" fillId="26" borderId="0" xfId="1" applyNumberFormat="1" applyFont="1" applyFill="1" applyBorder="1" applyAlignment="1">
      <alignment horizontal="center" vertical="center"/>
    </xf>
    <xf numFmtId="44" fontId="36" fillId="0" borderId="0" xfId="1" applyNumberFormat="1" applyFont="1" applyBorder="1" applyAlignment="1">
      <alignment vertical="center" wrapText="1"/>
    </xf>
    <xf numFmtId="44" fontId="77" fillId="0" borderId="0" xfId="1" applyNumberFormat="1" applyFont="1" applyFill="1" applyBorder="1" applyAlignment="1">
      <alignment vertical="center"/>
    </xf>
    <xf numFmtId="44" fontId="77" fillId="0" borderId="0" xfId="1" applyNumberFormat="1" applyFont="1" applyFill="1" applyBorder="1" applyAlignment="1">
      <alignment horizontal="center" vertical="center"/>
    </xf>
    <xf numFmtId="44" fontId="77" fillId="26" borderId="0" xfId="1" applyNumberFormat="1" applyFont="1" applyFill="1" applyBorder="1" applyAlignment="1">
      <alignment vertical="center"/>
    </xf>
    <xf numFmtId="44" fontId="95" fillId="26" borderId="0" xfId="1" applyNumberFormat="1" applyFont="1" applyFill="1" applyBorder="1" applyAlignment="1">
      <alignment vertical="center"/>
    </xf>
    <xf numFmtId="44" fontId="77" fillId="27" borderId="0" xfId="1" applyNumberFormat="1" applyFont="1" applyFill="1" applyBorder="1" applyAlignment="1">
      <alignment horizontal="center" vertical="center"/>
    </xf>
    <xf numFmtId="44" fontId="45" fillId="21" borderId="0" xfId="1" applyNumberFormat="1" applyFont="1" applyFill="1" applyBorder="1" applyAlignment="1">
      <alignment horizontal="center" vertical="center" wrapText="1"/>
    </xf>
    <xf numFmtId="44" fontId="46" fillId="21" borderId="0" xfId="1" applyNumberFormat="1" applyFont="1" applyFill="1" applyBorder="1" applyAlignment="1">
      <alignment horizontal="center" vertical="center"/>
    </xf>
    <xf numFmtId="44" fontId="0" fillId="0" borderId="0" xfId="1" applyNumberFormat="1" applyFont="1"/>
    <xf numFmtId="44" fontId="36" fillId="0" borderId="0" xfId="1" applyNumberFormat="1" applyFont="1" applyAlignment="1">
      <alignment vertical="center"/>
    </xf>
    <xf numFmtId="7" fontId="36" fillId="0" borderId="55" xfId="0" applyNumberFormat="1" applyFont="1" applyBorder="1" applyAlignment="1">
      <alignment vertical="center" wrapText="1"/>
    </xf>
    <xf numFmtId="0" fontId="38" fillId="12" borderId="0" xfId="2" applyFont="1" applyFill="1" applyBorder="1" applyAlignment="1">
      <alignment horizontal="center" vertical="center"/>
    </xf>
    <xf numFmtId="0" fontId="38" fillId="12" borderId="0" xfId="2" applyFont="1" applyFill="1" applyBorder="1" applyAlignment="1">
      <alignment horizontal="center" vertical="center"/>
    </xf>
    <xf numFmtId="0" fontId="36" fillId="0" borderId="0" xfId="0" applyNumberFormat="1" applyFont="1" applyAlignment="1">
      <alignment vertical="center"/>
    </xf>
    <xf numFmtId="0" fontId="0" fillId="0" borderId="0" xfId="0" applyNumberFormat="1"/>
    <xf numFmtId="0" fontId="36" fillId="0" borderId="0" xfId="0" applyNumberFormat="1" applyFont="1" applyBorder="1" applyAlignment="1">
      <alignment vertical="center"/>
    </xf>
    <xf numFmtId="0" fontId="36" fillId="0" borderId="0" xfId="0" applyNumberFormat="1" applyFont="1" applyFill="1" applyAlignment="1">
      <alignment vertical="center"/>
    </xf>
    <xf numFmtId="0" fontId="46" fillId="4" borderId="0" xfId="0" applyNumberFormat="1" applyFont="1" applyFill="1" applyAlignment="1">
      <alignment vertical="center"/>
    </xf>
    <xf numFmtId="0" fontId="36" fillId="25" borderId="0" xfId="0" applyNumberFormat="1" applyFont="1" applyFill="1" applyAlignment="1">
      <alignment vertical="center"/>
    </xf>
    <xf numFmtId="0" fontId="36" fillId="4" borderId="0" xfId="0" applyNumberFormat="1" applyFont="1" applyFill="1" applyAlignment="1">
      <alignment vertical="center"/>
    </xf>
    <xf numFmtId="16" fontId="36" fillId="0" borderId="0" xfId="0" quotePrefix="1" applyNumberFormat="1" applyFont="1" applyAlignment="1">
      <alignment vertical="center"/>
    </xf>
    <xf numFmtId="171" fontId="0" fillId="0" borderId="0" xfId="0" applyNumberFormat="1"/>
    <xf numFmtId="0" fontId="36" fillId="0" borderId="9" xfId="0" applyFont="1" applyBorder="1" applyAlignment="1">
      <alignment vertical="center"/>
    </xf>
    <xf numFmtId="0" fontId="0" fillId="0" borderId="9" xfId="0" applyBorder="1"/>
    <xf numFmtId="0" fontId="36" fillId="0" borderId="9" xfId="0" applyNumberFormat="1" applyFont="1" applyBorder="1" applyAlignment="1">
      <alignment vertical="center"/>
    </xf>
    <xf numFmtId="0" fontId="36" fillId="0" borderId="9" xfId="0" applyFont="1" applyBorder="1" applyAlignment="1">
      <alignment horizontal="center" vertical="center" wrapText="1"/>
    </xf>
    <xf numFmtId="0" fontId="36" fillId="0" borderId="9" xfId="0" applyFont="1" applyBorder="1" applyAlignment="1">
      <alignment vertical="center" wrapText="1"/>
    </xf>
    <xf numFmtId="0" fontId="36" fillId="4" borderId="9" xfId="0" applyFont="1" applyFill="1" applyBorder="1" applyAlignment="1">
      <alignment horizontal="center" vertical="center" wrapText="1"/>
    </xf>
    <xf numFmtId="0" fontId="36" fillId="4" borderId="9" xfId="0" applyFont="1" applyFill="1" applyBorder="1" applyAlignment="1">
      <alignment vertical="center" wrapText="1"/>
    </xf>
    <xf numFmtId="43" fontId="36" fillId="0" borderId="0" xfId="0" applyNumberFormat="1" applyFont="1" applyBorder="1" applyAlignment="1">
      <alignment horizontal="center" vertical="center"/>
    </xf>
    <xf numFmtId="43" fontId="36" fillId="4" borderId="0" xfId="0" applyNumberFormat="1" applyFont="1" applyFill="1" applyBorder="1" applyAlignment="1">
      <alignment horizontal="center" vertical="center" wrapText="1"/>
    </xf>
    <xf numFmtId="44" fontId="45" fillId="21" borderId="0" xfId="3" applyNumberFormat="1" applyFont="1" applyFill="1" applyBorder="1" applyAlignment="1">
      <alignment horizontal="center" vertical="center" wrapText="1"/>
    </xf>
    <xf numFmtId="182" fontId="38" fillId="12" borderId="0" xfId="2" applyNumberFormat="1" applyFont="1" applyFill="1" applyBorder="1" applyAlignment="1">
      <alignment horizontal="center" vertical="center"/>
    </xf>
    <xf numFmtId="182" fontId="35" fillId="19" borderId="1" xfId="3" applyNumberFormat="1" applyFont="1" applyFill="1" applyBorder="1" applyAlignment="1">
      <alignment horizontal="center" wrapText="1"/>
    </xf>
    <xf numFmtId="182" fontId="36" fillId="0" borderId="0" xfId="1" applyNumberFormat="1" applyFont="1" applyBorder="1" applyAlignment="1">
      <alignment vertical="center"/>
    </xf>
    <xf numFmtId="182" fontId="36" fillId="4" borderId="0" xfId="1" applyNumberFormat="1" applyFont="1" applyFill="1" applyBorder="1" applyAlignment="1">
      <alignment vertical="center"/>
    </xf>
    <xf numFmtId="182" fontId="36" fillId="0" borderId="0" xfId="1" applyNumberFormat="1" applyFont="1" applyFill="1" applyBorder="1" applyAlignment="1">
      <alignment vertical="center"/>
    </xf>
    <xf numFmtId="182" fontId="45" fillId="21" borderId="0" xfId="3" applyNumberFormat="1" applyFont="1" applyFill="1" applyBorder="1" applyAlignment="1">
      <alignment horizontal="center" vertical="center" wrapText="1"/>
    </xf>
    <xf numFmtId="182" fontId="36" fillId="4" borderId="0" xfId="1" applyNumberFormat="1" applyFont="1" applyFill="1" applyBorder="1" applyAlignment="1">
      <alignment horizontal="center" vertical="center"/>
    </xf>
    <xf numFmtId="182" fontId="36" fillId="0" borderId="0" xfId="1" applyNumberFormat="1" applyFont="1" applyBorder="1" applyAlignment="1">
      <alignment horizontal="center" vertical="center"/>
    </xf>
    <xf numFmtId="182" fontId="36" fillId="4" borderId="0" xfId="0" applyNumberFormat="1" applyFont="1" applyFill="1" applyBorder="1" applyAlignment="1">
      <alignment vertical="center" wrapText="1"/>
    </xf>
    <xf numFmtId="182" fontId="36" fillId="0" borderId="0" xfId="0" applyNumberFormat="1" applyFont="1" applyBorder="1" applyAlignment="1">
      <alignment vertical="center" wrapText="1"/>
    </xf>
    <xf numFmtId="182" fontId="36" fillId="22" borderId="0" xfId="1" applyNumberFormat="1" applyFont="1" applyFill="1" applyBorder="1" applyAlignment="1">
      <alignment horizontal="center" vertical="center"/>
    </xf>
    <xf numFmtId="182" fontId="36" fillId="0" borderId="0" xfId="0" applyNumberFormat="1" applyFont="1" applyAlignment="1">
      <alignment vertical="center"/>
    </xf>
    <xf numFmtId="182" fontId="0" fillId="0" borderId="0" xfId="0" applyNumberFormat="1"/>
    <xf numFmtId="0" fontId="97" fillId="0" borderId="0" xfId="110" applyAlignment="1">
      <alignment horizontal="left"/>
    </xf>
    <xf numFmtId="0" fontId="97" fillId="0" borderId="0" xfId="110"/>
    <xf numFmtId="0" fontId="98" fillId="4" borderId="55" xfId="0" applyFont="1" applyFill="1" applyBorder="1" applyAlignment="1">
      <alignment horizontal="center" vertical="center" wrapText="1"/>
    </xf>
    <xf numFmtId="0" fontId="98" fillId="0" borderId="55" xfId="0" applyFont="1" applyBorder="1" applyAlignment="1">
      <alignment horizontal="center" vertical="center" wrapText="1"/>
    </xf>
    <xf numFmtId="173" fontId="36" fillId="4" borderId="0" xfId="1" applyNumberFormat="1" applyFont="1" applyFill="1" applyBorder="1" applyAlignment="1">
      <alignment horizontal="center" vertical="center"/>
    </xf>
    <xf numFmtId="173" fontId="36" fillId="0" borderId="0" xfId="0" applyNumberFormat="1" applyFont="1" applyAlignment="1">
      <alignment vertical="center"/>
    </xf>
    <xf numFmtId="171" fontId="0" fillId="0" borderId="18" xfId="1" applyNumberFormat="1" applyFont="1" applyBorder="1"/>
    <xf numFmtId="7" fontId="102" fillId="29" borderId="0" xfId="125" applyNumberFormat="1" applyFill="1" applyAlignment="1">
      <alignment horizontal="right"/>
    </xf>
    <xf numFmtId="7" fontId="102" fillId="28" borderId="0" xfId="125" applyNumberFormat="1" applyFill="1" applyAlignment="1">
      <alignment horizontal="right"/>
    </xf>
    <xf numFmtId="0" fontId="36" fillId="0" borderId="0" xfId="0" applyFont="1" applyBorder="1" applyAlignment="1">
      <alignment horizontal="center" vertical="center" wrapText="1"/>
    </xf>
    <xf numFmtId="14" fontId="36" fillId="0" borderId="0" xfId="1" applyNumberFormat="1" applyFont="1" applyBorder="1" applyAlignment="1">
      <alignment horizontal="center" vertical="center"/>
    </xf>
    <xf numFmtId="44" fontId="36" fillId="0" borderId="0" xfId="1" applyNumberFormat="1" applyFont="1" applyBorder="1" applyAlignment="1">
      <alignment horizontal="center" vertical="center"/>
    </xf>
    <xf numFmtId="0" fontId="36" fillId="4" borderId="0" xfId="0" applyFont="1" applyFill="1" applyBorder="1" applyAlignment="1">
      <alignment horizontal="center" vertical="center" wrapText="1"/>
    </xf>
    <xf numFmtId="44" fontId="36" fillId="4" borderId="0" xfId="1" applyNumberFormat="1" applyFont="1" applyFill="1" applyBorder="1" applyAlignment="1">
      <alignment horizontal="center" vertical="center"/>
    </xf>
    <xf numFmtId="44" fontId="40" fillId="4" borderId="0" xfId="1" applyNumberFormat="1" applyFont="1" applyFill="1" applyBorder="1" applyAlignment="1">
      <alignment horizontal="center" vertical="center"/>
    </xf>
    <xf numFmtId="171" fontId="36" fillId="0" borderId="0" xfId="1" applyNumberFormat="1" applyFont="1" applyBorder="1" applyAlignment="1">
      <alignment vertical="center"/>
    </xf>
    <xf numFmtId="171" fontId="36" fillId="4" borderId="0" xfId="1" applyNumberFormat="1" applyFont="1" applyFill="1" applyBorder="1" applyAlignment="1">
      <alignment vertical="center"/>
    </xf>
    <xf numFmtId="44" fontId="40" fillId="4" borderId="0" xfId="1" applyNumberFormat="1" applyFont="1" applyFill="1" applyBorder="1" applyAlignment="1">
      <alignment vertical="center"/>
    </xf>
    <xf numFmtId="171" fontId="36" fillId="0" borderId="0" xfId="0" applyNumberFormat="1" applyFont="1" applyAlignment="1">
      <alignment vertical="center"/>
    </xf>
    <xf numFmtId="0" fontId="38" fillId="12" borderId="0" xfId="2" applyFont="1" applyFill="1" applyBorder="1" applyAlignment="1">
      <alignment horizontal="center" vertical="center"/>
    </xf>
    <xf numFmtId="44" fontId="36" fillId="4" borderId="55" xfId="0" applyNumberFormat="1" applyFont="1" applyFill="1" applyBorder="1" applyAlignment="1">
      <alignment vertical="center" wrapText="1"/>
    </xf>
    <xf numFmtId="169" fontId="46" fillId="0" borderId="25" xfId="0" applyNumberFormat="1" applyFont="1" applyFill="1" applyBorder="1" applyAlignment="1">
      <alignment horizontal="left" vertical="center" wrapText="1"/>
    </xf>
    <xf numFmtId="0" fontId="38" fillId="12" borderId="0" xfId="2" applyFont="1" applyFill="1" applyBorder="1" applyAlignment="1">
      <alignment horizontal="center" vertical="center"/>
    </xf>
    <xf numFmtId="177" fontId="36" fillId="0" borderId="0" xfId="1" applyNumberFormat="1" applyFont="1" applyBorder="1" applyAlignment="1">
      <alignment vertical="center"/>
    </xf>
    <xf numFmtId="177" fontId="36" fillId="4" borderId="0" xfId="1" applyNumberFormat="1" applyFont="1" applyFill="1" applyBorder="1" applyAlignment="1">
      <alignment vertical="center"/>
    </xf>
    <xf numFmtId="0" fontId="91" fillId="4" borderId="25" xfId="0" applyFont="1" applyFill="1" applyBorder="1" applyAlignment="1">
      <alignment vertical="center" wrapText="1"/>
    </xf>
    <xf numFmtId="0" fontId="91" fillId="4" borderId="25" xfId="0" applyFont="1" applyFill="1" applyBorder="1" applyAlignment="1">
      <alignment horizontal="center" vertical="center" wrapText="1"/>
    </xf>
    <xf numFmtId="14" fontId="91" fillId="4" borderId="25" xfId="0" applyNumberFormat="1" applyFont="1" applyFill="1" applyBorder="1" applyAlignment="1">
      <alignment horizontal="center" vertical="center" wrapText="1"/>
    </xf>
    <xf numFmtId="7" fontId="91" fillId="4" borderId="25" xfId="0" applyNumberFormat="1" applyFont="1" applyFill="1" applyBorder="1" applyAlignment="1">
      <alignment vertical="center" wrapText="1"/>
    </xf>
    <xf numFmtId="44" fontId="91" fillId="4" borderId="25" xfId="0" applyNumberFormat="1" applyFont="1" applyFill="1" applyBorder="1" applyAlignment="1">
      <alignment vertical="center" wrapText="1"/>
    </xf>
    <xf numFmtId="0" fontId="91" fillId="0" borderId="25" xfId="0" applyFont="1" applyBorder="1" applyAlignment="1">
      <alignment vertical="center" wrapText="1"/>
    </xf>
    <xf numFmtId="0" fontId="91" fillId="0" borderId="25" xfId="0" applyFont="1" applyBorder="1" applyAlignment="1">
      <alignment horizontal="center" vertical="center" wrapText="1"/>
    </xf>
    <xf numFmtId="14" fontId="91" fillId="0" borderId="25" xfId="0" applyNumberFormat="1" applyFont="1" applyBorder="1" applyAlignment="1">
      <alignment horizontal="center" vertical="center" wrapText="1"/>
    </xf>
    <xf numFmtId="7" fontId="91" fillId="0" borderId="25" xfId="0" applyNumberFormat="1" applyFont="1" applyBorder="1" applyAlignment="1">
      <alignment vertical="center" wrapText="1"/>
    </xf>
    <xf numFmtId="44" fontId="91" fillId="0" borderId="25" xfId="0" applyNumberFormat="1" applyFont="1" applyBorder="1" applyAlignment="1">
      <alignment vertical="center" wrapText="1"/>
    </xf>
    <xf numFmtId="0" fontId="107" fillId="4" borderId="25" xfId="0" applyFont="1" applyFill="1" applyBorder="1" applyAlignment="1">
      <alignment horizontal="center" vertical="center" wrapText="1"/>
    </xf>
    <xf numFmtId="0" fontId="108" fillId="0" borderId="0" xfId="0" applyFont="1"/>
    <xf numFmtId="0" fontId="91" fillId="4" borderId="5" xfId="0" applyFont="1" applyFill="1" applyBorder="1" applyAlignment="1">
      <alignment vertical="center" wrapText="1"/>
    </xf>
    <xf numFmtId="0" fontId="91" fillId="4" borderId="61" xfId="0" applyFont="1" applyFill="1" applyBorder="1" applyAlignment="1">
      <alignment vertical="center" wrapText="1"/>
    </xf>
    <xf numFmtId="44" fontId="91" fillId="4" borderId="60" xfId="0" applyNumberFormat="1" applyFont="1" applyFill="1" applyBorder="1" applyAlignment="1">
      <alignment vertical="center" wrapText="1"/>
    </xf>
    <xf numFmtId="0" fontId="91" fillId="0" borderId="61" xfId="0" applyFont="1" applyBorder="1" applyAlignment="1">
      <alignment vertical="center" wrapText="1"/>
    </xf>
    <xf numFmtId="44" fontId="91" fillId="0" borderId="60" xfId="0" applyNumberFormat="1" applyFont="1" applyBorder="1" applyAlignment="1">
      <alignment vertical="center" wrapText="1"/>
    </xf>
    <xf numFmtId="7" fontId="91" fillId="4" borderId="60" xfId="0" applyNumberFormat="1" applyFont="1" applyFill="1" applyBorder="1" applyAlignment="1">
      <alignment vertical="center" wrapText="1"/>
    </xf>
    <xf numFmtId="0" fontId="91" fillId="0" borderId="63" xfId="0" applyFont="1" applyBorder="1" applyAlignment="1">
      <alignment vertical="center" wrapText="1"/>
    </xf>
    <xf numFmtId="0" fontId="110" fillId="25" borderId="33" xfId="0" applyFont="1" applyFill="1" applyBorder="1" applyAlignment="1">
      <alignment vertical="center"/>
    </xf>
    <xf numFmtId="0" fontId="109" fillId="25" borderId="52" xfId="0" applyFont="1" applyFill="1" applyBorder="1" applyAlignment="1">
      <alignment vertical="center" wrapText="1"/>
    </xf>
    <xf numFmtId="0" fontId="110" fillId="25" borderId="52" xfId="0" applyFont="1" applyFill="1" applyBorder="1" applyAlignment="1">
      <alignment vertical="center" wrapText="1"/>
    </xf>
    <xf numFmtId="0" fontId="111" fillId="25" borderId="52" xfId="0" applyFont="1" applyFill="1" applyBorder="1" applyAlignment="1">
      <alignment horizontal="center" vertical="center" wrapText="1"/>
    </xf>
    <xf numFmtId="0" fontId="110" fillId="25" borderId="52" xfId="0" applyFont="1" applyFill="1" applyBorder="1" applyAlignment="1">
      <alignment horizontal="center" vertical="center" wrapText="1"/>
    </xf>
    <xf numFmtId="0" fontId="110" fillId="25" borderId="64" xfId="0" applyFont="1" applyFill="1" applyBorder="1" applyAlignment="1">
      <alignment horizontal="center" vertical="center" wrapText="1"/>
    </xf>
    <xf numFmtId="7" fontId="110" fillId="25" borderId="58" xfId="0" applyNumberFormat="1" applyFont="1" applyFill="1" applyBorder="1" applyAlignment="1">
      <alignment vertical="center" wrapText="1"/>
    </xf>
    <xf numFmtId="0" fontId="110" fillId="25" borderId="52" xfId="0" applyFont="1" applyFill="1" applyBorder="1" applyAlignment="1">
      <alignment vertical="center"/>
    </xf>
    <xf numFmtId="0" fontId="104" fillId="25" borderId="52" xfId="0" applyFont="1" applyFill="1" applyBorder="1" applyAlignment="1">
      <alignment horizontal="center" vertical="center" wrapText="1"/>
    </xf>
    <xf numFmtId="7" fontId="110" fillId="25" borderId="59" xfId="0" applyNumberFormat="1" applyFont="1" applyFill="1" applyBorder="1" applyAlignment="1">
      <alignment vertical="center" wrapText="1"/>
    </xf>
    <xf numFmtId="0" fontId="109" fillId="0" borderId="52" xfId="0" applyFont="1" applyBorder="1"/>
    <xf numFmtId="0" fontId="38" fillId="12" borderId="0" xfId="2" applyFont="1" applyFill="1" applyBorder="1" applyAlignment="1">
      <alignment horizontal="center" vertical="center"/>
    </xf>
    <xf numFmtId="0" fontId="98" fillId="4" borderId="25" xfId="0" applyFont="1" applyFill="1" applyBorder="1" applyAlignment="1">
      <alignment horizontal="center" vertical="center" wrapText="1"/>
    </xf>
    <xf numFmtId="0" fontId="38" fillId="12" borderId="0" xfId="2" applyFont="1" applyFill="1" applyBorder="1" applyAlignment="1">
      <alignment horizontal="center" vertical="center"/>
    </xf>
    <xf numFmtId="0" fontId="38" fillId="12" borderId="0" xfId="2" applyFont="1" applyFill="1" applyBorder="1" applyAlignment="1">
      <alignment horizontal="center" vertical="center"/>
    </xf>
    <xf numFmtId="0" fontId="25" fillId="30" borderId="0" xfId="0" applyFont="1" applyFill="1"/>
    <xf numFmtId="14" fontId="91" fillId="0" borderId="25" xfId="0" applyNumberFormat="1" applyFont="1" applyFill="1" applyBorder="1" applyAlignment="1">
      <alignment horizontal="center" vertical="center" wrapText="1"/>
    </xf>
    <xf numFmtId="0" fontId="91" fillId="0" borderId="25" xfId="0" applyFont="1" applyFill="1" applyBorder="1" applyAlignment="1">
      <alignment horizontal="center" vertical="center" wrapText="1"/>
    </xf>
    <xf numFmtId="0" fontId="0" fillId="30" borderId="0" xfId="0" applyFill="1"/>
    <xf numFmtId="44" fontId="0" fillId="30" borderId="0" xfId="1" quotePrefix="1" applyNumberFormat="1" applyFont="1" applyFill="1"/>
    <xf numFmtId="14" fontId="36" fillId="0" borderId="25" xfId="0" applyNumberFormat="1" applyFont="1" applyBorder="1" applyAlignment="1">
      <alignment horizontal="center" vertical="center" wrapText="1"/>
    </xf>
    <xf numFmtId="7" fontId="36" fillId="0" borderId="25" xfId="0" applyNumberFormat="1" applyFont="1" applyBorder="1" applyAlignment="1">
      <alignment vertical="center" wrapText="1"/>
    </xf>
    <xf numFmtId="7" fontId="36" fillId="4" borderId="55" xfId="0" applyNumberFormat="1" applyFont="1" applyFill="1" applyBorder="1" applyAlignment="1">
      <alignment vertical="center" wrapText="1"/>
    </xf>
    <xf numFmtId="7" fontId="36" fillId="4" borderId="56" xfId="0" applyNumberFormat="1" applyFont="1" applyFill="1" applyBorder="1" applyAlignment="1">
      <alignment vertical="center" wrapText="1"/>
    </xf>
    <xf numFmtId="0" fontId="36" fillId="25" borderId="0" xfId="0" applyFont="1" applyFill="1" applyBorder="1" applyAlignment="1">
      <alignment horizontal="center" vertical="center" wrapText="1"/>
    </xf>
    <xf numFmtId="0" fontId="91" fillId="4" borderId="63" xfId="0" applyFont="1" applyFill="1" applyBorder="1" applyAlignment="1">
      <alignment vertical="center" wrapText="1"/>
    </xf>
    <xf numFmtId="172" fontId="110" fillId="25" borderId="59" xfId="0" applyNumberFormat="1" applyFont="1" applyFill="1" applyBorder="1" applyAlignment="1">
      <alignment vertical="center" wrapText="1"/>
    </xf>
    <xf numFmtId="0" fontId="38" fillId="12" borderId="0" xfId="2" applyFont="1" applyFill="1" applyBorder="1" applyAlignment="1">
      <alignment horizontal="center" vertical="center"/>
    </xf>
    <xf numFmtId="0" fontId="0" fillId="0" borderId="0" xfId="0" applyFill="1"/>
    <xf numFmtId="44" fontId="0" fillId="0" borderId="0" xfId="0" applyNumberFormat="1" applyFill="1"/>
    <xf numFmtId="0" fontId="38" fillId="12" borderId="0" xfId="2" applyFont="1" applyFill="1" applyBorder="1" applyAlignment="1">
      <alignment horizontal="center" vertical="center"/>
    </xf>
    <xf numFmtId="0" fontId="38" fillId="12" borderId="0" xfId="2" applyFont="1" applyFill="1" applyBorder="1" applyAlignment="1">
      <alignment horizontal="center" vertical="center"/>
    </xf>
    <xf numFmtId="0" fontId="38" fillId="12" borderId="0" xfId="2" applyFont="1" applyFill="1" applyBorder="1" applyAlignment="1">
      <alignment horizontal="center" vertical="center"/>
    </xf>
    <xf numFmtId="0" fontId="38" fillId="12" borderId="0" xfId="2" applyFont="1" applyFill="1" applyBorder="1" applyAlignment="1">
      <alignment horizontal="center" vertical="center"/>
    </xf>
    <xf numFmtId="0" fontId="38" fillId="12" borderId="0" xfId="2" applyFont="1" applyFill="1" applyBorder="1" applyAlignment="1">
      <alignment horizontal="center" vertical="center"/>
    </xf>
    <xf numFmtId="0" fontId="38" fillId="12" borderId="0" xfId="2" applyFont="1" applyFill="1" applyBorder="1" applyAlignment="1">
      <alignment horizontal="center" vertical="center"/>
    </xf>
    <xf numFmtId="0" fontId="38" fillId="12" borderId="0" xfId="2" applyFont="1" applyFill="1" applyBorder="1" applyAlignment="1">
      <alignment horizontal="center" vertical="center"/>
    </xf>
    <xf numFmtId="0" fontId="38" fillId="12" borderId="0" xfId="2" applyFont="1" applyFill="1" applyBorder="1" applyAlignment="1">
      <alignment horizontal="center" vertical="center"/>
    </xf>
    <xf numFmtId="44" fontId="36" fillId="0" borderId="56" xfId="0" applyNumberFormat="1" applyFont="1" applyBorder="1" applyAlignment="1">
      <alignment vertical="center" wrapText="1"/>
    </xf>
    <xf numFmtId="180" fontId="44" fillId="31" borderId="50" xfId="0" applyNumberFormat="1" applyFont="1" applyFill="1" applyBorder="1" applyAlignment="1">
      <alignment horizontal="center" vertical="center"/>
    </xf>
    <xf numFmtId="0" fontId="0" fillId="0" borderId="0" xfId="0"/>
    <xf numFmtId="0" fontId="108" fillId="0" borderId="0" xfId="0" applyFont="1"/>
    <xf numFmtId="0" fontId="91" fillId="0" borderId="0" xfId="0" applyFont="1"/>
    <xf numFmtId="0" fontId="108" fillId="0" borderId="0" xfId="0" applyFont="1" applyAlignment="1">
      <alignment horizontal="centerContinuous" vertical="top"/>
    </xf>
    <xf numFmtId="0" fontId="108" fillId="0" borderId="0" xfId="0" applyFont="1" applyAlignment="1">
      <alignment horizontal="centerContinuous"/>
    </xf>
    <xf numFmtId="0" fontId="108" fillId="20" borderId="0" xfId="0" applyFont="1" applyFill="1" applyAlignment="1">
      <alignment horizontal="center" vertical="center"/>
    </xf>
    <xf numFmtId="0" fontId="108" fillId="20" borderId="0" xfId="0" applyFont="1" applyFill="1" applyAlignment="1">
      <alignment horizontal="center" vertical="center" wrapText="1"/>
    </xf>
    <xf numFmtId="0" fontId="115" fillId="0" borderId="0" xfId="0" applyFont="1" applyAlignment="1">
      <alignment horizontal="left" vertical="top"/>
    </xf>
    <xf numFmtId="0" fontId="115" fillId="0" borderId="0" xfId="0" applyFont="1" applyAlignment="1">
      <alignment vertical="center"/>
    </xf>
    <xf numFmtId="0" fontId="115" fillId="0" borderId="0" xfId="0" applyFont="1"/>
    <xf numFmtId="0" fontId="113" fillId="0" borderId="0" xfId="0" applyFont="1" applyAlignment="1">
      <alignment horizontal="centerContinuous" vertical="top"/>
    </xf>
    <xf numFmtId="0" fontId="110" fillId="0" borderId="0" xfId="0" applyFont="1" applyAlignment="1">
      <alignment horizontal="centerContinuous" vertical="top"/>
    </xf>
    <xf numFmtId="0" fontId="108" fillId="0" borderId="9" xfId="0" applyFont="1" applyBorder="1"/>
    <xf numFmtId="8" fontId="108" fillId="0" borderId="9" xfId="0" applyNumberFormat="1" applyFont="1" applyBorder="1" applyAlignment="1">
      <alignment horizontal="center"/>
    </xf>
    <xf numFmtId="6" fontId="108" fillId="0" borderId="9" xfId="0" applyNumberFormat="1" applyFont="1" applyBorder="1" applyAlignment="1">
      <alignment horizontal="center"/>
    </xf>
    <xf numFmtId="0" fontId="108" fillId="0" borderId="9" xfId="0" applyFont="1" applyBorder="1" applyAlignment="1">
      <alignment horizontal="center"/>
    </xf>
    <xf numFmtId="7" fontId="116" fillId="0" borderId="9" xfId="0" applyNumberFormat="1" applyFont="1" applyBorder="1" applyAlignment="1">
      <alignment horizontal="center"/>
    </xf>
    <xf numFmtId="0" fontId="108" fillId="0" borderId="0" xfId="0" applyFont="1" applyBorder="1"/>
    <xf numFmtId="7" fontId="116" fillId="0" borderId="0" xfId="0" applyNumberFormat="1" applyFont="1" applyBorder="1" applyAlignment="1">
      <alignment horizontal="center"/>
    </xf>
    <xf numFmtId="0" fontId="108" fillId="0" borderId="0" xfId="0" applyFont="1" applyBorder="1" applyAlignment="1">
      <alignment horizontal="center"/>
    </xf>
    <xf numFmtId="0" fontId="0" fillId="0" borderId="0" xfId="0" applyAlignment="1">
      <alignment horizontal="centerContinuous"/>
    </xf>
    <xf numFmtId="0" fontId="47" fillId="0" borderId="0" xfId="0" applyFont="1" applyFill="1" applyBorder="1"/>
    <xf numFmtId="0" fontId="0" fillId="0" borderId="0" xfId="0" applyNumberFormat="1" applyFill="1"/>
    <xf numFmtId="0" fontId="73" fillId="0" borderId="0" xfId="0" applyFont="1" applyFill="1"/>
    <xf numFmtId="180" fontId="44" fillId="31" borderId="50" xfId="0" applyNumberFormat="1" applyFont="1" applyFill="1" applyBorder="1" applyAlignment="1">
      <alignment vertical="center"/>
    </xf>
    <xf numFmtId="0" fontId="120" fillId="0" borderId="0" xfId="0" applyFont="1" applyFill="1" applyBorder="1" applyAlignment="1">
      <alignment horizontal="left" vertical="top"/>
    </xf>
    <xf numFmtId="0" fontId="105" fillId="0" borderId="0" xfId="3" applyFont="1" applyFill="1" applyBorder="1" applyAlignment="1">
      <alignment horizontal="center" wrapText="1"/>
    </xf>
    <xf numFmtId="0" fontId="0" fillId="0" borderId="0" xfId="0" applyFill="1" applyBorder="1"/>
    <xf numFmtId="0" fontId="105" fillId="0" borderId="33" xfId="3" applyFont="1" applyFill="1" applyBorder="1" applyAlignment="1">
      <alignment horizontal="center" wrapText="1"/>
    </xf>
    <xf numFmtId="0" fontId="105" fillId="0" borderId="62" xfId="3" applyFont="1" applyFill="1" applyBorder="1" applyAlignment="1">
      <alignment horizontal="center" wrapText="1"/>
    </xf>
    <xf numFmtId="0" fontId="105" fillId="0" borderId="59" xfId="3" applyFont="1" applyFill="1" applyBorder="1" applyAlignment="1">
      <alignment horizontal="center" wrapText="1"/>
    </xf>
    <xf numFmtId="0" fontId="91" fillId="4" borderId="65" xfId="0" applyFont="1" applyFill="1" applyBorder="1" applyAlignment="1">
      <alignment vertical="center" wrapText="1"/>
    </xf>
    <xf numFmtId="0" fontId="110" fillId="4" borderId="33" xfId="0" applyFont="1" applyFill="1" applyBorder="1" applyAlignment="1">
      <alignment vertical="center"/>
    </xf>
    <xf numFmtId="0" fontId="109" fillId="4" borderId="52" xfId="0" applyFont="1" applyFill="1" applyBorder="1" applyAlignment="1">
      <alignment vertical="center" wrapText="1"/>
    </xf>
    <xf numFmtId="0" fontId="109" fillId="4" borderId="52" xfId="0" applyFont="1" applyFill="1" applyBorder="1" applyAlignment="1">
      <alignment horizontal="center" vertical="center" wrapText="1"/>
    </xf>
    <xf numFmtId="14" fontId="109" fillId="4" borderId="52" xfId="0" applyNumberFormat="1" applyFont="1" applyFill="1" applyBorder="1" applyAlignment="1">
      <alignment horizontal="center" vertical="center" wrapText="1"/>
    </xf>
    <xf numFmtId="0" fontId="109" fillId="4" borderId="64" xfId="0" applyFont="1" applyFill="1" applyBorder="1" applyAlignment="1">
      <alignment horizontal="center" vertical="center" wrapText="1"/>
    </xf>
    <xf numFmtId="7" fontId="110" fillId="4" borderId="58" xfId="0" applyNumberFormat="1" applyFont="1" applyFill="1" applyBorder="1" applyAlignment="1">
      <alignment vertical="center" wrapText="1"/>
    </xf>
    <xf numFmtId="7" fontId="110" fillId="4" borderId="62" xfId="0" applyNumberFormat="1" applyFont="1" applyFill="1" applyBorder="1" applyAlignment="1">
      <alignment vertical="center" wrapText="1"/>
    </xf>
    <xf numFmtId="44" fontId="109" fillId="4" borderId="59" xfId="0" applyNumberFormat="1" applyFont="1" applyFill="1" applyBorder="1" applyAlignment="1">
      <alignment vertical="center" wrapText="1"/>
    </xf>
    <xf numFmtId="0" fontId="91" fillId="4" borderId="67" xfId="0" applyFont="1" applyFill="1" applyBorder="1" applyAlignment="1">
      <alignment vertical="center" wrapText="1"/>
    </xf>
    <xf numFmtId="0" fontId="91" fillId="4" borderId="66" xfId="0" applyFont="1" applyFill="1" applyBorder="1" applyAlignment="1">
      <alignment vertical="center" wrapText="1"/>
    </xf>
    <xf numFmtId="0" fontId="91" fillId="4" borderId="66" xfId="0" applyFont="1" applyFill="1" applyBorder="1" applyAlignment="1">
      <alignment horizontal="center" vertical="center" wrapText="1"/>
    </xf>
    <xf numFmtId="14" fontId="91" fillId="4" borderId="66" xfId="0" applyNumberFormat="1" applyFont="1" applyFill="1" applyBorder="1" applyAlignment="1">
      <alignment horizontal="center" vertical="center" wrapText="1"/>
    </xf>
    <xf numFmtId="7" fontId="91" fillId="4" borderId="66" xfId="0" applyNumberFormat="1" applyFont="1" applyFill="1" applyBorder="1" applyAlignment="1">
      <alignment vertical="center" wrapText="1"/>
    </xf>
    <xf numFmtId="44" fontId="91" fillId="4" borderId="68" xfId="0" applyNumberFormat="1" applyFont="1" applyFill="1" applyBorder="1" applyAlignment="1">
      <alignment vertical="center" wrapText="1"/>
    </xf>
    <xf numFmtId="0" fontId="91" fillId="0" borderId="61" xfId="0" applyFont="1" applyFill="1" applyBorder="1" applyAlignment="1">
      <alignment vertical="center" wrapText="1"/>
    </xf>
    <xf numFmtId="0" fontId="91" fillId="0" borderId="25" xfId="0" applyFont="1" applyFill="1" applyBorder="1" applyAlignment="1">
      <alignment vertical="center" wrapText="1"/>
    </xf>
    <xf numFmtId="7" fontId="91" fillId="0" borderId="25" xfId="0" applyNumberFormat="1" applyFont="1" applyFill="1" applyBorder="1" applyAlignment="1">
      <alignment vertical="center" wrapText="1"/>
    </xf>
    <xf numFmtId="44" fontId="91" fillId="0" borderId="60" xfId="0" applyNumberFormat="1" applyFont="1" applyFill="1" applyBorder="1" applyAlignment="1">
      <alignment vertical="center" wrapText="1"/>
    </xf>
    <xf numFmtId="0" fontId="24" fillId="0" borderId="0" xfId="0" applyFont="1" applyFill="1" applyBorder="1" applyAlignment="1">
      <alignment horizontal="left" vertical="top"/>
    </xf>
    <xf numFmtId="6" fontId="91" fillId="4" borderId="60" xfId="0" applyNumberFormat="1" applyFont="1" applyFill="1" applyBorder="1" applyAlignment="1">
      <alignment vertical="center" wrapText="1"/>
    </xf>
    <xf numFmtId="0" fontId="110" fillId="0" borderId="0" xfId="0" applyFont="1" applyFill="1" applyBorder="1" applyAlignment="1">
      <alignment horizontal="left" vertical="center" wrapText="1"/>
    </xf>
    <xf numFmtId="7" fontId="106" fillId="0" borderId="0" xfId="0" applyNumberFormat="1" applyFont="1" applyFill="1" applyBorder="1" applyAlignment="1">
      <alignment vertical="center" wrapText="1"/>
    </xf>
    <xf numFmtId="44" fontId="106" fillId="0" borderId="0" xfId="0" applyNumberFormat="1" applyFont="1" applyFill="1" applyBorder="1" applyAlignment="1">
      <alignment vertical="center" wrapText="1"/>
    </xf>
    <xf numFmtId="0" fontId="0" fillId="5" borderId="0" xfId="0" applyFill="1"/>
    <xf numFmtId="0" fontId="106" fillId="25" borderId="65" xfId="0" applyFont="1" applyFill="1" applyBorder="1" applyAlignment="1">
      <alignment vertical="center"/>
    </xf>
    <xf numFmtId="0" fontId="106" fillId="25" borderId="15" xfId="0" applyFont="1" applyFill="1" applyBorder="1" applyAlignment="1">
      <alignment vertical="center"/>
    </xf>
    <xf numFmtId="0" fontId="91" fillId="4" borderId="69" xfId="0" applyFont="1" applyFill="1" applyBorder="1" applyAlignment="1">
      <alignment vertical="center" wrapText="1"/>
    </xf>
    <xf numFmtId="0" fontId="106" fillId="4" borderId="15" xfId="0" applyFont="1" applyFill="1" applyBorder="1" applyAlignment="1">
      <alignment vertical="center"/>
    </xf>
    <xf numFmtId="8" fontId="110" fillId="25" borderId="59" xfId="0" applyNumberFormat="1" applyFont="1" applyFill="1" applyBorder="1" applyAlignment="1">
      <alignment vertical="center" wrapText="1"/>
    </xf>
    <xf numFmtId="0" fontId="109" fillId="4" borderId="52" xfId="0" applyFont="1" applyFill="1" applyBorder="1"/>
    <xf numFmtId="0" fontId="110" fillId="4" borderId="52" xfId="0" applyFont="1" applyFill="1" applyBorder="1" applyAlignment="1">
      <alignment vertical="center" wrapText="1"/>
    </xf>
    <xf numFmtId="0" fontId="111" fillId="4" borderId="52" xfId="0" applyFont="1" applyFill="1" applyBorder="1" applyAlignment="1">
      <alignment horizontal="center" vertical="center" wrapText="1"/>
    </xf>
    <xf numFmtId="0" fontId="110" fillId="4" borderId="52" xfId="0" applyFont="1" applyFill="1" applyBorder="1" applyAlignment="1">
      <alignment horizontal="center" vertical="center" wrapText="1"/>
    </xf>
    <xf numFmtId="0" fontId="110" fillId="4" borderId="64" xfId="0" applyFont="1" applyFill="1" applyBorder="1" applyAlignment="1">
      <alignment horizontal="center" vertical="center" wrapText="1"/>
    </xf>
    <xf numFmtId="44" fontId="110" fillId="4" borderId="59" xfId="0" applyNumberFormat="1" applyFont="1" applyFill="1" applyBorder="1" applyAlignment="1">
      <alignment vertical="center" wrapText="1"/>
    </xf>
    <xf numFmtId="0" fontId="121" fillId="25" borderId="33" xfId="0" applyFont="1" applyFill="1" applyBorder="1" applyAlignment="1">
      <alignment vertical="center"/>
    </xf>
    <xf numFmtId="44" fontId="115" fillId="25" borderId="59" xfId="0" applyNumberFormat="1" applyFont="1" applyFill="1" applyBorder="1" applyAlignment="1">
      <alignment horizontal="right" vertical="center" wrapText="1"/>
    </xf>
    <xf numFmtId="0" fontId="121" fillId="4" borderId="33" xfId="0" applyFont="1" applyFill="1" applyBorder="1" applyAlignment="1">
      <alignment vertical="center"/>
    </xf>
    <xf numFmtId="7" fontId="110" fillId="4" borderId="59" xfId="0" applyNumberFormat="1" applyFont="1" applyFill="1" applyBorder="1" applyAlignment="1">
      <alignment vertical="center" wrapText="1"/>
    </xf>
    <xf numFmtId="7" fontId="110" fillId="0" borderId="58" xfId="0" applyNumberFormat="1" applyFont="1" applyFill="1" applyBorder="1" applyAlignment="1">
      <alignment vertical="center" wrapText="1"/>
    </xf>
    <xf numFmtId="44" fontId="110" fillId="0" borderId="59" xfId="0" applyNumberFormat="1" applyFont="1" applyFill="1" applyBorder="1" applyAlignment="1">
      <alignment vertical="center" wrapText="1"/>
    </xf>
    <xf numFmtId="44" fontId="0" fillId="5" borderId="52" xfId="1" applyFont="1" applyFill="1" applyBorder="1"/>
    <xf numFmtId="44" fontId="0" fillId="5" borderId="18" xfId="1" applyFont="1" applyFill="1" applyBorder="1"/>
    <xf numFmtId="2" fontId="0" fillId="0" borderId="0" xfId="0" applyNumberFormat="1"/>
    <xf numFmtId="0" fontId="25" fillId="0" borderId="0" xfId="0" applyFont="1" applyFill="1" applyBorder="1" applyAlignment="1">
      <alignment horizontal="left" vertical="top"/>
    </xf>
    <xf numFmtId="0" fontId="0" fillId="0" borderId="0" xfId="0" applyFill="1" applyAlignment="1">
      <alignment horizontal="center"/>
    </xf>
    <xf numFmtId="0" fontId="122" fillId="0" borderId="0" xfId="0" applyFont="1" applyFill="1" applyAlignment="1">
      <alignment wrapText="1"/>
    </xf>
    <xf numFmtId="44" fontId="25" fillId="0" borderId="0" xfId="0" applyNumberFormat="1" applyFont="1" applyFill="1" applyBorder="1" applyAlignment="1">
      <alignment horizontal="center" vertical="top"/>
    </xf>
    <xf numFmtId="0" fontId="25" fillId="0" borderId="0" xfId="0" applyFont="1" applyFill="1"/>
    <xf numFmtId="0" fontId="0" fillId="0" borderId="0" xfId="0" applyFill="1" applyAlignment="1">
      <alignment horizontal="left"/>
    </xf>
    <xf numFmtId="0" fontId="25" fillId="0" borderId="0" xfId="0" applyFont="1" applyFill="1" applyAlignment="1">
      <alignment horizontal="left"/>
    </xf>
    <xf numFmtId="0" fontId="0" fillId="0" borderId="0" xfId="0" applyFill="1" applyAlignment="1">
      <alignment vertical="center"/>
    </xf>
    <xf numFmtId="44" fontId="25" fillId="0" borderId="0" xfId="1" applyNumberFormat="1" applyFont="1" applyFill="1" applyBorder="1" applyAlignment="1"/>
    <xf numFmtId="44" fontId="56" fillId="0" borderId="0" xfId="1" applyNumberFormat="1" applyFont="1" applyFill="1" applyBorder="1" applyAlignment="1">
      <alignment horizontal="center"/>
    </xf>
    <xf numFmtId="16" fontId="0" fillId="0" borderId="0" xfId="0" applyNumberFormat="1" applyFill="1"/>
    <xf numFmtId="0" fontId="0" fillId="0" borderId="0" xfId="0" applyFill="1" applyAlignment="1">
      <alignment horizontal="left"/>
    </xf>
    <xf numFmtId="0" fontId="0" fillId="0" borderId="0" xfId="0"/>
    <xf numFmtId="40" fontId="0" fillId="0" borderId="0" xfId="0" applyNumberFormat="1" applyFill="1"/>
    <xf numFmtId="0" fontId="0" fillId="0" borderId="0" xfId="0"/>
    <xf numFmtId="2" fontId="0" fillId="0" borderId="0" xfId="0" applyNumberFormat="1" applyFill="1"/>
    <xf numFmtId="181" fontId="0" fillId="0" borderId="0" xfId="0" applyNumberFormat="1" applyFill="1"/>
    <xf numFmtId="181" fontId="0" fillId="0" borderId="0" xfId="0" quotePrefix="1" applyNumberFormat="1" applyFill="1"/>
    <xf numFmtId="0" fontId="25" fillId="0" borderId="0" xfId="0" applyFont="1" applyFill="1" applyBorder="1" applyAlignment="1">
      <alignment horizontal="left" vertical="top" wrapText="1"/>
    </xf>
    <xf numFmtId="0" fontId="75" fillId="0" borderId="0" xfId="0" applyFont="1" applyFill="1" applyBorder="1" applyAlignment="1">
      <alignment horizontal="center"/>
    </xf>
    <xf numFmtId="0" fontId="75" fillId="0" borderId="0" xfId="0" applyFont="1" applyFill="1" applyBorder="1" applyAlignment="1">
      <alignment wrapText="1"/>
    </xf>
    <xf numFmtId="14" fontId="75" fillId="0" borderId="0" xfId="0" applyNumberFormat="1" applyFont="1" applyFill="1" applyBorder="1" applyAlignment="1">
      <alignment horizontal="center"/>
    </xf>
    <xf numFmtId="0" fontId="75" fillId="0" borderId="0" xfId="0" applyFont="1" applyFill="1" applyBorder="1" applyAlignment="1">
      <alignment horizontal="center" wrapText="1"/>
    </xf>
    <xf numFmtId="40" fontId="124" fillId="0" borderId="0" xfId="1" applyNumberFormat="1" applyFont="1" applyFill="1" applyBorder="1" applyAlignment="1">
      <alignment horizontal="right" vertical="top"/>
    </xf>
    <xf numFmtId="44" fontId="124" fillId="0" borderId="0" xfId="1" applyNumberFormat="1" applyFont="1" applyFill="1" applyBorder="1" applyAlignment="1">
      <alignment vertical="top"/>
    </xf>
    <xf numFmtId="40" fontId="124" fillId="0" borderId="0" xfId="1" applyNumberFormat="1" applyFont="1" applyFill="1" applyBorder="1" applyAlignment="1">
      <alignment vertical="top"/>
    </xf>
    <xf numFmtId="0" fontId="86" fillId="0" borderId="0" xfId="0" applyFont="1" applyFill="1" applyAlignment="1">
      <alignment vertical="center" wrapText="1"/>
    </xf>
    <xf numFmtId="0" fontId="86" fillId="5" borderId="0" xfId="0" applyFont="1" applyFill="1" applyAlignment="1">
      <alignment vertical="center"/>
    </xf>
    <xf numFmtId="0" fontId="25" fillId="0" borderId="0" xfId="0" applyFont="1"/>
    <xf numFmtId="2" fontId="25" fillId="0" borderId="0" xfId="0" applyNumberFormat="1" applyFont="1" applyFill="1"/>
    <xf numFmtId="2" fontId="25" fillId="0" borderId="0" xfId="0" applyNumberFormat="1" applyFont="1"/>
    <xf numFmtId="9" fontId="25" fillId="0" borderId="0" xfId="0" applyNumberFormat="1" applyFont="1"/>
    <xf numFmtId="0" fontId="127" fillId="20" borderId="14" xfId="0" applyFont="1" applyFill="1" applyBorder="1" applyAlignment="1">
      <alignment horizontal="center" wrapText="1"/>
    </xf>
    <xf numFmtId="0" fontId="25" fillId="0" borderId="0" xfId="0" applyFont="1" applyFill="1" applyBorder="1" applyAlignment="1">
      <alignment horizontal="left" vertical="top" wrapText="1"/>
    </xf>
    <xf numFmtId="0" fontId="75" fillId="0" borderId="0" xfId="0" applyFont="1" applyFill="1" applyBorder="1" applyAlignment="1"/>
    <xf numFmtId="0" fontId="75" fillId="0" borderId="0" xfId="0" applyFont="1" applyFill="1" applyBorder="1" applyAlignment="1">
      <alignment horizontal="left"/>
    </xf>
    <xf numFmtId="0" fontId="75" fillId="0" borderId="0" xfId="0" applyFont="1" applyFill="1" applyBorder="1"/>
    <xf numFmtId="0" fontId="25" fillId="0" borderId="0" xfId="0" applyFont="1" applyBorder="1"/>
    <xf numFmtId="0" fontId="75" fillId="0" borderId="0" xfId="0" applyFont="1" applyBorder="1" applyAlignment="1">
      <alignment vertical="top" wrapText="1"/>
    </xf>
    <xf numFmtId="0" fontId="122" fillId="0" borderId="0" xfId="0" applyFont="1" applyFill="1" applyBorder="1" applyAlignment="1">
      <alignment wrapText="1"/>
    </xf>
    <xf numFmtId="0" fontId="75" fillId="0" borderId="0" xfId="0" applyFont="1" applyFill="1" applyBorder="1" applyAlignment="1">
      <alignment horizontal="left" wrapText="1"/>
    </xf>
    <xf numFmtId="0" fontId="75" fillId="0" borderId="0" xfId="0" applyFont="1" applyFill="1" applyBorder="1" applyAlignment="1">
      <alignment horizontal="left"/>
    </xf>
    <xf numFmtId="0" fontId="25" fillId="0" borderId="0" xfId="0" applyFont="1" applyFill="1" applyBorder="1" applyAlignment="1">
      <alignment horizontal="right" vertical="top" wrapText="1"/>
    </xf>
    <xf numFmtId="0" fontId="47" fillId="0" borderId="0" xfId="0" applyFont="1" applyAlignment="1">
      <alignment horizontal="left" vertical="top" wrapText="1"/>
    </xf>
    <xf numFmtId="0" fontId="47" fillId="0" borderId="0" xfId="0" applyFont="1" applyAlignment="1">
      <alignment horizontal="center" vertical="top"/>
    </xf>
    <xf numFmtId="0" fontId="0" fillId="0" borderId="0" xfId="0" applyFill="1" applyAlignment="1"/>
    <xf numFmtId="0" fontId="0" fillId="0" borderId="0" xfId="0" applyFont="1" applyAlignment="1"/>
    <xf numFmtId="0" fontId="0" fillId="0" borderId="0" xfId="0" applyFont="1" applyFill="1" applyAlignment="1"/>
    <xf numFmtId="0" fontId="75" fillId="0" borderId="0" xfId="0" applyFont="1" applyBorder="1" applyAlignment="1">
      <alignment horizontal="left" vertical="top"/>
    </xf>
    <xf numFmtId="0" fontId="0" fillId="0" borderId="0" xfId="0" applyFont="1" applyFill="1" applyBorder="1" applyAlignment="1"/>
    <xf numFmtId="0" fontId="122" fillId="0" borderId="0" xfId="0" applyFont="1" applyFill="1" applyBorder="1" applyAlignment="1"/>
    <xf numFmtId="0" fontId="75" fillId="0" borderId="15" xfId="0" applyFont="1" applyFill="1" applyBorder="1" applyAlignment="1">
      <alignment wrapText="1"/>
    </xf>
    <xf numFmtId="44" fontId="20" fillId="0" borderId="16" xfId="1" applyNumberFormat="1" applyFont="1" applyFill="1" applyBorder="1" applyAlignment="1">
      <alignment horizontal="center" wrapText="1"/>
    </xf>
    <xf numFmtId="44" fontId="25" fillId="0" borderId="16" xfId="1" applyNumberFormat="1" applyFont="1" applyFill="1" applyBorder="1" applyAlignment="1">
      <alignment horizontal="center" vertical="top"/>
    </xf>
    <xf numFmtId="44" fontId="124" fillId="0" borderId="0" xfId="1" applyNumberFormat="1" applyFont="1" applyFill="1" applyBorder="1" applyAlignment="1">
      <alignment horizontal="center"/>
    </xf>
    <xf numFmtId="40" fontId="124" fillId="0" borderId="0" xfId="1" applyNumberFormat="1" applyFont="1" applyFill="1" applyBorder="1" applyAlignment="1">
      <alignment horizontal="center"/>
    </xf>
    <xf numFmtId="44" fontId="0" fillId="0" borderId="16" xfId="1" applyNumberFormat="1" applyFont="1" applyFill="1" applyBorder="1" applyAlignment="1">
      <alignment horizontal="center" wrapText="1"/>
    </xf>
    <xf numFmtId="0" fontId="75" fillId="0" borderId="0" xfId="0" applyFont="1" applyFill="1" applyBorder="1" applyAlignment="1">
      <alignment vertical="center"/>
    </xf>
    <xf numFmtId="165" fontId="75" fillId="0" borderId="0" xfId="1" applyNumberFormat="1" applyFont="1" applyFill="1" applyBorder="1" applyAlignment="1">
      <alignment vertical="center"/>
    </xf>
    <xf numFmtId="44" fontId="75" fillId="0" borderId="0" xfId="1" applyNumberFormat="1" applyFont="1" applyFill="1" applyBorder="1" applyAlignment="1">
      <alignment horizontal="center"/>
    </xf>
    <xf numFmtId="40" fontId="75" fillId="0" borderId="0" xfId="1" applyNumberFormat="1" applyFont="1" applyFill="1" applyBorder="1" applyAlignment="1">
      <alignment horizontal="center"/>
    </xf>
    <xf numFmtId="0" fontId="75" fillId="0" borderId="0" xfId="0" applyFont="1" applyBorder="1" applyAlignment="1">
      <alignment horizontal="left" vertical="top" wrapText="1"/>
    </xf>
    <xf numFmtId="0" fontId="75" fillId="0" borderId="0" xfId="0" applyFont="1" applyBorder="1"/>
    <xf numFmtId="0" fontId="127" fillId="20" borderId="17" xfId="0" applyFont="1" applyFill="1" applyBorder="1" applyAlignment="1">
      <alignment horizontal="center" wrapText="1"/>
    </xf>
    <xf numFmtId="0" fontId="127" fillId="20" borderId="18" xfId="0" applyFont="1" applyFill="1" applyBorder="1" applyAlignment="1">
      <alignment horizontal="center"/>
    </xf>
    <xf numFmtId="0" fontId="127" fillId="20" borderId="18" xfId="0" applyFont="1" applyFill="1" applyBorder="1" applyAlignment="1">
      <alignment horizontal="center" wrapText="1"/>
    </xf>
    <xf numFmtId="0" fontId="127" fillId="20" borderId="12" xfId="0" applyFont="1" applyFill="1" applyBorder="1" applyAlignment="1">
      <alignment horizontal="center" wrapText="1"/>
    </xf>
    <xf numFmtId="0" fontId="127" fillId="20" borderId="13" xfId="0" applyFont="1" applyFill="1" applyBorder="1" applyAlignment="1">
      <alignment horizontal="center"/>
    </xf>
    <xf numFmtId="0" fontId="127" fillId="20" borderId="19" xfId="0" applyFont="1" applyFill="1" applyBorder="1" applyAlignment="1">
      <alignment horizontal="center" wrapText="1"/>
    </xf>
    <xf numFmtId="0" fontId="75" fillId="0" borderId="0" xfId="0" applyFont="1" applyBorder="1" applyAlignment="1">
      <alignment horizontal="left" vertical="top" wrapText="1"/>
    </xf>
    <xf numFmtId="0" fontId="124" fillId="0" borderId="0" xfId="0" applyFont="1" applyBorder="1"/>
    <xf numFmtId="0" fontId="75" fillId="35" borderId="15" xfId="0" applyFont="1" applyFill="1" applyBorder="1" applyAlignment="1">
      <alignment wrapText="1"/>
    </xf>
    <xf numFmtId="0" fontId="75" fillId="35" borderId="0" xfId="0" applyFont="1" applyFill="1" applyBorder="1" applyAlignment="1">
      <alignment wrapText="1"/>
    </xf>
    <xf numFmtId="0" fontId="75" fillId="35" borderId="0" xfId="0" applyFont="1" applyFill="1" applyBorder="1" applyAlignment="1">
      <alignment horizontal="center" wrapText="1"/>
    </xf>
    <xf numFmtId="14" fontId="75" fillId="35" borderId="0" xfId="0" applyNumberFormat="1" applyFont="1" applyFill="1" applyBorder="1" applyAlignment="1">
      <alignment horizontal="center"/>
    </xf>
    <xf numFmtId="0" fontId="75" fillId="35" borderId="0" xfId="0" applyFont="1" applyFill="1" applyBorder="1" applyAlignment="1">
      <alignment horizontal="left" wrapText="1"/>
    </xf>
    <xf numFmtId="44" fontId="75" fillId="35" borderId="0" xfId="1" applyNumberFormat="1" applyFont="1" applyFill="1" applyBorder="1" applyAlignment="1">
      <alignment horizontal="center"/>
    </xf>
    <xf numFmtId="40" fontId="75" fillId="35" borderId="0" xfId="1" applyNumberFormat="1" applyFont="1" applyFill="1" applyBorder="1" applyAlignment="1">
      <alignment horizontal="center"/>
    </xf>
    <xf numFmtId="40" fontId="124" fillId="35" borderId="0" xfId="1" applyNumberFormat="1" applyFont="1" applyFill="1" applyBorder="1" applyAlignment="1">
      <alignment horizontal="center"/>
    </xf>
    <xf numFmtId="44" fontId="0" fillId="35" borderId="16" xfId="1" applyNumberFormat="1" applyFont="1" applyFill="1" applyBorder="1" applyAlignment="1">
      <alignment horizontal="center" wrapText="1"/>
    </xf>
    <xf numFmtId="44" fontId="124" fillId="35" borderId="0" xfId="1" applyNumberFormat="1" applyFont="1" applyFill="1" applyBorder="1" applyAlignment="1">
      <alignment horizontal="center"/>
    </xf>
    <xf numFmtId="44" fontId="20" fillId="35" borderId="16" xfId="1" applyNumberFormat="1" applyFont="1" applyFill="1" applyBorder="1" applyAlignment="1">
      <alignment horizontal="center" wrapText="1"/>
    </xf>
    <xf numFmtId="0" fontId="75" fillId="0" borderId="0" xfId="0" applyFont="1" applyFill="1" applyBorder="1" applyAlignment="1">
      <alignment horizontal="left" vertical="top" wrapText="1"/>
    </xf>
    <xf numFmtId="0" fontId="124" fillId="0" borderId="0" xfId="0" applyFont="1" applyFill="1" applyBorder="1" applyAlignment="1">
      <alignment horizontal="left" vertical="top"/>
    </xf>
    <xf numFmtId="0" fontId="75" fillId="0" borderId="0" xfId="0" applyFont="1" applyFill="1" applyBorder="1" applyAlignment="1">
      <alignment horizontal="left" vertical="top"/>
    </xf>
    <xf numFmtId="0" fontId="128" fillId="0" borderId="0" xfId="0" applyFont="1" applyFill="1" applyBorder="1" applyAlignment="1">
      <alignment horizontal="left" vertical="top"/>
    </xf>
    <xf numFmtId="0" fontId="0" fillId="0" borderId="0" xfId="0" applyBorder="1" applyAlignment="1"/>
    <xf numFmtId="0" fontId="90" fillId="0" borderId="0" xfId="0" applyFont="1" applyAlignment="1">
      <alignment vertical="center"/>
    </xf>
    <xf numFmtId="0" fontId="129" fillId="20" borderId="74" xfId="0" applyFont="1" applyFill="1" applyBorder="1" applyAlignment="1">
      <alignment horizontal="center"/>
    </xf>
    <xf numFmtId="0" fontId="129" fillId="20" borderId="75" xfId="0" applyFont="1" applyFill="1" applyBorder="1" applyAlignment="1">
      <alignment horizontal="center" wrapText="1"/>
    </xf>
    <xf numFmtId="0" fontId="75" fillId="0" borderId="0" xfId="0" applyFont="1" applyAlignment="1">
      <alignment horizontal="right"/>
    </xf>
    <xf numFmtId="0" fontId="124" fillId="0" borderId="0" xfId="0" applyFont="1" applyAlignment="1">
      <alignment horizontal="right"/>
    </xf>
    <xf numFmtId="0" fontId="75" fillId="35" borderId="0" xfId="0" applyFont="1" applyFill="1" applyBorder="1" applyAlignment="1">
      <alignment horizontal="left" vertical="top" wrapText="1"/>
    </xf>
    <xf numFmtId="0" fontId="75" fillId="35" borderId="15" xfId="0" applyFont="1" applyFill="1" applyBorder="1" applyAlignment="1">
      <alignment horizontal="center" wrapText="1"/>
    </xf>
    <xf numFmtId="0" fontId="75" fillId="35" borderId="0" xfId="0" applyFont="1" applyFill="1" applyBorder="1" applyAlignment="1">
      <alignment horizontal="center"/>
    </xf>
    <xf numFmtId="0" fontId="91" fillId="0" borderId="0" xfId="181" applyFont="1" applyAlignment="1">
      <alignment horizontal="left" vertical="top" wrapText="1"/>
    </xf>
    <xf numFmtId="0" fontId="131" fillId="20" borderId="80" xfId="3" applyFont="1" applyFill="1" applyBorder="1" applyAlignment="1">
      <alignment horizontal="center" vertical="center" wrapText="1"/>
    </xf>
    <xf numFmtId="0" fontId="131" fillId="0" borderId="0" xfId="3" applyFont="1" applyFill="1" applyBorder="1" applyAlignment="1">
      <alignment horizontal="center" vertical="center" wrapText="1"/>
    </xf>
    <xf numFmtId="0" fontId="131" fillId="20" borderId="81" xfId="3" applyFont="1" applyFill="1" applyBorder="1" applyAlignment="1">
      <alignment horizontal="center" vertical="center" wrapText="1"/>
    </xf>
    <xf numFmtId="0" fontId="131" fillId="20" borderId="11" xfId="3" applyFont="1" applyFill="1" applyBorder="1" applyAlignment="1">
      <alignment horizontal="center" vertical="center" wrapText="1"/>
    </xf>
    <xf numFmtId="0" fontId="91" fillId="4" borderId="81" xfId="0" applyFont="1" applyFill="1" applyBorder="1" applyAlignment="1">
      <alignment horizontal="center" vertical="center" wrapText="1"/>
    </xf>
    <xf numFmtId="0" fontId="91" fillId="4" borderId="13" xfId="0" applyFont="1" applyFill="1" applyBorder="1" applyAlignment="1">
      <alignment horizontal="center" vertical="center" wrapText="1"/>
    </xf>
    <xf numFmtId="0" fontId="91" fillId="0" borderId="0" xfId="0" applyFont="1" applyFill="1" applyBorder="1" applyAlignment="1">
      <alignment horizontal="center" vertical="center" wrapText="1"/>
    </xf>
    <xf numFmtId="0" fontId="91" fillId="0" borderId="80" xfId="0" applyFont="1" applyBorder="1" applyAlignment="1">
      <alignment horizontal="center" vertical="center" wrapText="1"/>
    </xf>
    <xf numFmtId="0" fontId="91" fillId="0" borderId="0" xfId="0" applyFont="1" applyBorder="1" applyAlignment="1">
      <alignment horizontal="center" vertical="center" wrapText="1"/>
    </xf>
    <xf numFmtId="0" fontId="91" fillId="4" borderId="80" xfId="0" applyFont="1" applyFill="1" applyBorder="1" applyAlignment="1">
      <alignment horizontal="center" vertical="center" wrapText="1"/>
    </xf>
    <xf numFmtId="0" fontId="91" fillId="4" borderId="0" xfId="0" applyFont="1" applyFill="1" applyBorder="1" applyAlignment="1">
      <alignment horizontal="center" vertical="center" wrapText="1"/>
    </xf>
    <xf numFmtId="0" fontId="91" fillId="0" borderId="0" xfId="181" applyFont="1" applyBorder="1" applyAlignment="1">
      <alignment vertical="top"/>
    </xf>
    <xf numFmtId="0" fontId="91" fillId="0" borderId="80" xfId="181" applyFont="1" applyBorder="1" applyAlignment="1">
      <alignment vertical="top"/>
    </xf>
    <xf numFmtId="0" fontId="91" fillId="0" borderId="80" xfId="181" applyFont="1" applyBorder="1"/>
    <xf numFmtId="0" fontId="91" fillId="4" borderId="82" xfId="0" applyFont="1" applyFill="1" applyBorder="1" applyAlignment="1">
      <alignment horizontal="center" vertical="center" wrapText="1"/>
    </xf>
    <xf numFmtId="0" fontId="91" fillId="4" borderId="18" xfId="0" applyFont="1" applyFill="1" applyBorder="1" applyAlignment="1">
      <alignment horizontal="center" vertical="center" wrapText="1"/>
    </xf>
    <xf numFmtId="0" fontId="91" fillId="0" borderId="0" xfId="181" applyFont="1"/>
    <xf numFmtId="0" fontId="25" fillId="5" borderId="0" xfId="0" applyFont="1" applyFill="1" applyBorder="1" applyAlignment="1">
      <alignment horizontal="left" vertical="top"/>
    </xf>
    <xf numFmtId="0" fontId="75" fillId="0" borderId="0" xfId="0" applyFont="1" applyBorder="1" applyAlignment="1">
      <alignment horizontal="left" vertical="top" wrapText="1"/>
    </xf>
    <xf numFmtId="40" fontId="0" fillId="0" borderId="0" xfId="0" applyNumberFormat="1" applyFill="1" applyBorder="1"/>
    <xf numFmtId="40" fontId="0" fillId="0" borderId="0" xfId="0" applyNumberFormat="1"/>
    <xf numFmtId="0" fontId="75" fillId="0" borderId="0" xfId="0" applyFont="1" applyFill="1" applyBorder="1" applyAlignment="1">
      <alignment vertical="top" wrapText="1"/>
    </xf>
    <xf numFmtId="40" fontId="25" fillId="0" borderId="0" xfId="1" applyNumberFormat="1" applyFont="1" applyFill="1" applyBorder="1" applyAlignment="1">
      <alignment horizontal="center"/>
    </xf>
    <xf numFmtId="0" fontId="75" fillId="0" borderId="0" xfId="0" applyFont="1" applyFill="1" applyBorder="1" applyAlignment="1">
      <alignment vertical="top"/>
    </xf>
    <xf numFmtId="0" fontId="0" fillId="0" borderId="0" xfId="0" applyFill="1" applyBorder="1" applyAlignment="1">
      <alignment vertical="top" wrapText="1"/>
    </xf>
    <xf numFmtId="0" fontId="122" fillId="0" borderId="0" xfId="0" applyFont="1" applyFill="1" applyAlignment="1"/>
    <xf numFmtId="181" fontId="25" fillId="0" borderId="0" xfId="0" applyNumberFormat="1" applyFont="1" applyFill="1"/>
    <xf numFmtId="44" fontId="75" fillId="0" borderId="1" xfId="1" applyNumberFormat="1" applyFont="1" applyFill="1" applyBorder="1" applyAlignment="1">
      <alignment horizontal="center"/>
    </xf>
    <xf numFmtId="40" fontId="75" fillId="0" borderId="1" xfId="1" applyNumberFormat="1" applyFont="1" applyFill="1" applyBorder="1" applyAlignment="1">
      <alignment horizontal="center"/>
    </xf>
    <xf numFmtId="40" fontId="124" fillId="0" borderId="1" xfId="1" applyNumberFormat="1" applyFont="1" applyFill="1" applyBorder="1" applyAlignment="1">
      <alignment horizontal="center"/>
    </xf>
    <xf numFmtId="44" fontId="0" fillId="0" borderId="70" xfId="1" applyNumberFormat="1" applyFont="1" applyFill="1" applyBorder="1" applyAlignment="1">
      <alignment horizontal="center" wrapText="1"/>
    </xf>
    <xf numFmtId="44" fontId="124" fillId="0" borderId="1" xfId="1" applyNumberFormat="1" applyFont="1" applyFill="1" applyBorder="1" applyAlignment="1">
      <alignment horizontal="center"/>
    </xf>
    <xf numFmtId="44" fontId="25" fillId="35" borderId="16" xfId="1" applyNumberFormat="1" applyFont="1" applyFill="1" applyBorder="1" applyAlignment="1">
      <alignment horizontal="center" vertical="top"/>
    </xf>
    <xf numFmtId="0" fontId="124" fillId="35" borderId="0" xfId="0" applyFont="1" applyFill="1" applyBorder="1" applyAlignment="1">
      <alignment horizontal="center"/>
    </xf>
    <xf numFmtId="0" fontId="124" fillId="35" borderId="0" xfId="0" applyFont="1" applyFill="1" applyBorder="1" applyAlignment="1">
      <alignment horizontal="center" wrapText="1"/>
    </xf>
    <xf numFmtId="0" fontId="124" fillId="35" borderId="13" xfId="0" applyFont="1" applyFill="1" applyBorder="1" applyAlignment="1">
      <alignment horizontal="center" wrapText="1"/>
    </xf>
    <xf numFmtId="44" fontId="75" fillId="35" borderId="13" xfId="0" applyNumberFormat="1" applyFont="1" applyFill="1" applyBorder="1" applyAlignment="1">
      <alignment horizontal="center" wrapText="1"/>
    </xf>
    <xf numFmtId="44" fontId="75" fillId="35" borderId="14" xfId="0" applyNumberFormat="1" applyFont="1" applyFill="1" applyBorder="1" applyAlignment="1">
      <alignment horizontal="right" wrapText="1"/>
    </xf>
    <xf numFmtId="0" fontId="141" fillId="0" borderId="0" xfId="0" applyFont="1" applyAlignment="1">
      <alignment vertical="center"/>
    </xf>
    <xf numFmtId="0" fontId="139" fillId="0" borderId="18" xfId="0" applyFont="1" applyBorder="1" applyAlignment="1">
      <alignment horizontal="center" vertical="center"/>
    </xf>
    <xf numFmtId="0" fontId="140" fillId="0" borderId="0" xfId="0" applyFont="1" applyAlignment="1">
      <alignment horizontal="center" vertical="center"/>
    </xf>
    <xf numFmtId="14" fontId="140" fillId="0" borderId="0" xfId="0" applyNumberFormat="1" applyFont="1" applyAlignment="1">
      <alignment horizontal="center" vertical="center"/>
    </xf>
    <xf numFmtId="0" fontId="108" fillId="0" borderId="0" xfId="0" applyFont="1" applyAlignment="1">
      <alignment horizontal="center"/>
    </xf>
    <xf numFmtId="0" fontId="25" fillId="0" borderId="0" xfId="0" applyFont="1" applyFill="1" applyBorder="1" applyAlignment="1">
      <alignment horizontal="left" vertical="top" wrapText="1"/>
    </xf>
    <xf numFmtId="0" fontId="25" fillId="0" borderId="0" xfId="0" applyFont="1" applyFill="1" applyBorder="1" applyAlignment="1">
      <alignment horizontal="left" vertical="top" wrapText="1"/>
    </xf>
    <xf numFmtId="14" fontId="25" fillId="0" borderId="0" xfId="0" applyNumberFormat="1" applyFont="1" applyFill="1" applyBorder="1" applyAlignment="1">
      <alignment horizontal="right" vertical="top" wrapText="1"/>
    </xf>
    <xf numFmtId="10" fontId="25" fillId="0" borderId="0" xfId="4" applyNumberFormat="1" applyFont="1" applyFill="1" applyBorder="1" applyAlignment="1">
      <alignment horizontal="left" vertical="top" wrapText="1"/>
    </xf>
    <xf numFmtId="10" fontId="25" fillId="0" borderId="0" xfId="4" applyNumberFormat="1" applyFont="1" applyFill="1" applyBorder="1" applyAlignment="1">
      <alignment horizontal="right" vertical="top" wrapText="1"/>
    </xf>
    <xf numFmtId="165" fontId="25" fillId="0" borderId="0" xfId="1" applyNumberFormat="1" applyFont="1" applyFill="1" applyBorder="1" applyAlignment="1">
      <alignment horizontal="left" vertical="top" wrapText="1"/>
    </xf>
    <xf numFmtId="0" fontId="25" fillId="5" borderId="0" xfId="0" applyFont="1" applyFill="1" applyBorder="1" applyAlignment="1">
      <alignment horizontal="left" vertical="top" wrapText="1"/>
    </xf>
    <xf numFmtId="0" fontId="123" fillId="0" borderId="0" xfId="0" applyFont="1" applyFill="1" applyAlignment="1">
      <alignment horizontal="left"/>
    </xf>
    <xf numFmtId="0" fontId="75" fillId="0" borderId="15" xfId="0" applyFont="1" applyFill="1" applyBorder="1" applyAlignment="1">
      <alignment horizontal="center" wrapText="1"/>
    </xf>
    <xf numFmtId="44" fontId="124" fillId="0" borderId="72" xfId="1" applyNumberFormat="1" applyFont="1" applyFill="1" applyBorder="1" applyAlignment="1">
      <alignment horizontal="center"/>
    </xf>
    <xf numFmtId="40" fontId="124" fillId="0" borderId="72" xfId="1" applyNumberFormat="1" applyFont="1" applyFill="1" applyBorder="1" applyAlignment="1">
      <alignment horizontal="center"/>
    </xf>
    <xf numFmtId="44" fontId="25" fillId="0" borderId="71" xfId="0" applyNumberFormat="1" applyFont="1" applyFill="1" applyBorder="1" applyAlignment="1">
      <alignment horizontal="center"/>
    </xf>
    <xf numFmtId="0" fontId="75" fillId="0" borderId="15" xfId="0" applyFont="1" applyFill="1" applyBorder="1" applyAlignment="1">
      <alignment horizontal="left" vertical="top" wrapText="1"/>
    </xf>
    <xf numFmtId="14" fontId="0" fillId="0" borderId="0" xfId="0" applyNumberFormat="1" applyFont="1" applyFill="1" applyBorder="1" applyAlignment="1">
      <alignment horizontal="center" wrapText="1"/>
    </xf>
    <xf numFmtId="0" fontId="0" fillId="0" borderId="0" xfId="0" applyFont="1" applyFill="1" applyBorder="1" applyAlignment="1">
      <alignment horizontal="left" wrapText="1"/>
    </xf>
    <xf numFmtId="183" fontId="124" fillId="35" borderId="0" xfId="1" applyNumberFormat="1" applyFont="1" applyFill="1" applyBorder="1" applyAlignment="1">
      <alignment horizontal="center"/>
    </xf>
    <xf numFmtId="44" fontId="25" fillId="35" borderId="16" xfId="0" applyNumberFormat="1" applyFont="1" applyFill="1" applyBorder="1" applyAlignment="1">
      <alignment horizontal="center"/>
    </xf>
    <xf numFmtId="0" fontId="126" fillId="35" borderId="17" xfId="0" applyFont="1" applyFill="1" applyBorder="1"/>
    <xf numFmtId="0" fontId="75" fillId="35" borderId="18" xfId="0" applyFont="1" applyFill="1" applyBorder="1" applyAlignment="1">
      <alignment wrapText="1"/>
    </xf>
    <xf numFmtId="0" fontId="75" fillId="35" borderId="18" xfId="0" applyFont="1" applyFill="1" applyBorder="1" applyAlignment="1">
      <alignment horizontal="center" wrapText="1"/>
    </xf>
    <xf numFmtId="44" fontId="124" fillId="35" borderId="18" xfId="1" applyNumberFormat="1" applyFont="1" applyFill="1" applyBorder="1" applyAlignment="1">
      <alignment horizontal="center"/>
    </xf>
    <xf numFmtId="40" fontId="124" fillId="35" borderId="18" xfId="1" applyNumberFormat="1" applyFont="1" applyFill="1" applyBorder="1" applyAlignment="1">
      <alignment horizontal="center"/>
    </xf>
    <xf numFmtId="44" fontId="25" fillId="35" borderId="19" xfId="1" applyNumberFormat="1" applyFont="1" applyFill="1" applyBorder="1" applyAlignment="1">
      <alignment horizontal="center"/>
    </xf>
    <xf numFmtId="44" fontId="0" fillId="0" borderId="0" xfId="1" applyFont="1" applyFill="1"/>
    <xf numFmtId="43" fontId="75" fillId="0" borderId="0" xfId="0" applyNumberFormat="1" applyFont="1" applyBorder="1" applyAlignment="1">
      <alignment horizontal="right" vertical="center" wrapText="1"/>
    </xf>
    <xf numFmtId="44" fontId="75" fillId="0" borderId="0" xfId="1" applyNumberFormat="1" applyFont="1" applyBorder="1" applyAlignment="1">
      <alignment horizontal="right" vertical="center"/>
    </xf>
    <xf numFmtId="44" fontId="124" fillId="0" borderId="23" xfId="1" applyNumberFormat="1" applyFont="1" applyBorder="1" applyAlignment="1">
      <alignment horizontal="right" vertical="center"/>
    </xf>
    <xf numFmtId="43" fontId="75" fillId="0" borderId="0" xfId="1" applyNumberFormat="1" applyFont="1" applyBorder="1" applyAlignment="1">
      <alignment horizontal="center" vertical="center"/>
    </xf>
    <xf numFmtId="43" fontId="124" fillId="0" borderId="23" xfId="1" applyNumberFormat="1" applyFont="1" applyBorder="1" applyAlignment="1">
      <alignment horizontal="center" vertical="center"/>
    </xf>
    <xf numFmtId="0" fontId="25" fillId="0" borderId="0" xfId="0" applyFont="1" applyFill="1" applyBorder="1" applyAlignment="1">
      <alignment horizontal="left" vertical="top" wrapText="1"/>
    </xf>
    <xf numFmtId="0" fontId="25" fillId="35" borderId="0" xfId="0" applyFont="1" applyFill="1" applyBorder="1" applyAlignment="1">
      <alignment horizontal="right" wrapText="1"/>
    </xf>
    <xf numFmtId="0" fontId="127" fillId="20" borderId="13" xfId="0" applyFont="1" applyFill="1" applyBorder="1" applyAlignment="1">
      <alignment horizontal="center" wrapText="1"/>
    </xf>
    <xf numFmtId="0" fontId="75" fillId="0" borderId="0" xfId="0" applyFont="1" applyFill="1" applyBorder="1" applyAlignment="1">
      <alignment horizontal="center" vertical="top" wrapText="1"/>
    </xf>
    <xf numFmtId="14" fontId="0" fillId="35" borderId="0" xfId="0" applyNumberFormat="1" applyFont="1" applyFill="1" applyBorder="1" applyAlignment="1">
      <alignment horizontal="center" vertical="center" wrapText="1"/>
    </xf>
    <xf numFmtId="0" fontId="0" fillId="35" borderId="0" xfId="0" applyFont="1" applyFill="1" applyBorder="1" applyAlignment="1">
      <alignment horizontal="left" vertical="center" wrapText="1"/>
    </xf>
    <xf numFmtId="44" fontId="124" fillId="35" borderId="1" xfId="1" applyNumberFormat="1" applyFont="1" applyFill="1" applyBorder="1" applyAlignment="1">
      <alignment horizontal="center" vertical="center"/>
    </xf>
    <xf numFmtId="40" fontId="124" fillId="35" borderId="1" xfId="1" applyNumberFormat="1" applyFont="1" applyFill="1" applyBorder="1" applyAlignment="1">
      <alignment horizontal="center" vertical="center"/>
    </xf>
    <xf numFmtId="40" fontId="75" fillId="35" borderId="0" xfId="1" applyNumberFormat="1" applyFont="1" applyFill="1" applyBorder="1" applyAlignment="1">
      <alignment horizontal="center" vertical="center"/>
    </xf>
    <xf numFmtId="44" fontId="0" fillId="35" borderId="70" xfId="0" applyNumberFormat="1" applyFont="1" applyFill="1" applyBorder="1" applyAlignment="1">
      <alignment horizontal="center" vertical="center"/>
    </xf>
    <xf numFmtId="0" fontId="136" fillId="35" borderId="0" xfId="0" applyFont="1" applyFill="1" applyBorder="1" applyAlignment="1">
      <alignment horizontal="center" vertical="top" wrapText="1"/>
    </xf>
    <xf numFmtId="44" fontId="25" fillId="0" borderId="16" xfId="0" applyNumberFormat="1" applyFont="1" applyFill="1" applyBorder="1" applyAlignment="1">
      <alignment horizontal="center"/>
    </xf>
    <xf numFmtId="0" fontId="75" fillId="35" borderId="15" xfId="0" applyFont="1" applyFill="1" applyBorder="1" applyAlignment="1">
      <alignment horizontal="left" vertical="top" wrapText="1"/>
    </xf>
    <xf numFmtId="184" fontId="0" fillId="0" borderId="0" xfId="0" applyNumberFormat="1"/>
    <xf numFmtId="0" fontId="0" fillId="36" borderId="0" xfId="0" applyFill="1" applyAlignment="1">
      <alignment horizontal="left"/>
    </xf>
    <xf numFmtId="179" fontId="0" fillId="0" borderId="0" xfId="4" applyNumberFormat="1" applyFont="1" applyFill="1"/>
    <xf numFmtId="0" fontId="0" fillId="36" borderId="0" xfId="0" applyFill="1"/>
    <xf numFmtId="2" fontId="0" fillId="36" borderId="0" xfId="0" applyNumberFormat="1" applyFill="1"/>
    <xf numFmtId="0" fontId="25" fillId="36" borderId="0" xfId="0" applyFont="1" applyFill="1" applyBorder="1" applyAlignment="1">
      <alignment horizontal="left" vertical="top" wrapText="1"/>
    </xf>
    <xf numFmtId="44" fontId="0" fillId="36" borderId="0" xfId="0" applyNumberFormat="1" applyFill="1"/>
    <xf numFmtId="0" fontId="25" fillId="0" borderId="0" xfId="0" applyFont="1" applyFill="1" applyBorder="1" applyAlignment="1">
      <alignment horizontal="left" vertical="top" wrapText="1"/>
    </xf>
    <xf numFmtId="0" fontId="28" fillId="0" borderId="0" xfId="0" applyFont="1"/>
    <xf numFmtId="0" fontId="25" fillId="37" borderId="0" xfId="0" applyFont="1" applyFill="1" applyBorder="1" applyAlignment="1">
      <alignment horizontal="left" vertical="top" wrapText="1"/>
    </xf>
    <xf numFmtId="0" fontId="0" fillId="37" borderId="0" xfId="0" applyFill="1"/>
    <xf numFmtId="0" fontId="0" fillId="37" borderId="0" xfId="0" applyFill="1" applyAlignment="1">
      <alignment horizontal="center"/>
    </xf>
    <xf numFmtId="0" fontId="126" fillId="35" borderId="12" xfId="0" applyFont="1" applyFill="1" applyBorder="1" applyAlignment="1">
      <alignment horizontal="left" wrapText="1"/>
    </xf>
    <xf numFmtId="0" fontId="126" fillId="35" borderId="13" xfId="0" applyFont="1" applyFill="1" applyBorder="1" applyAlignment="1">
      <alignment horizontal="left" wrapText="1"/>
    </xf>
    <xf numFmtId="0" fontId="126" fillId="0" borderId="15" xfId="0" applyFont="1" applyFill="1" applyBorder="1" applyAlignment="1">
      <alignment horizontal="left" wrapText="1"/>
    </xf>
    <xf numFmtId="0" fontId="126" fillId="0" borderId="0" xfId="0" applyFont="1" applyFill="1" applyBorder="1" applyAlignment="1">
      <alignment horizontal="left" wrapText="1"/>
    </xf>
    <xf numFmtId="14" fontId="124" fillId="35" borderId="18" xfId="0" applyNumberFormat="1" applyFont="1" applyFill="1" applyBorder="1" applyAlignment="1">
      <alignment horizontal="right"/>
    </xf>
    <xf numFmtId="0" fontId="25" fillId="0" borderId="0" xfId="0" applyFont="1" applyFill="1" applyBorder="1" applyAlignment="1">
      <alignment horizontal="center" wrapText="1"/>
    </xf>
    <xf numFmtId="14" fontId="25" fillId="35" borderId="0" xfId="0" applyNumberFormat="1" applyFont="1" applyFill="1" applyBorder="1" applyAlignment="1">
      <alignment horizontal="right"/>
    </xf>
    <xf numFmtId="0" fontId="124" fillId="35" borderId="15" xfId="0" applyFont="1" applyFill="1" applyBorder="1" applyAlignment="1">
      <alignment horizontal="left"/>
    </xf>
    <xf numFmtId="0" fontId="124" fillId="35" borderId="0" xfId="0" applyFont="1" applyFill="1" applyBorder="1" applyAlignment="1">
      <alignment horizontal="left"/>
    </xf>
    <xf numFmtId="0" fontId="25" fillId="35" borderId="0" xfId="0" applyFont="1" applyFill="1" applyBorder="1" applyAlignment="1">
      <alignment horizontal="right"/>
    </xf>
    <xf numFmtId="0" fontId="25" fillId="0" borderId="0" xfId="0" applyFont="1" applyFill="1" applyBorder="1" applyAlignment="1">
      <alignment horizontal="right"/>
    </xf>
    <xf numFmtId="0" fontId="25" fillId="0" borderId="0" xfId="0" applyFont="1" applyFill="1" applyBorder="1" applyAlignment="1">
      <alignment horizontal="left"/>
    </xf>
    <xf numFmtId="0" fontId="25" fillId="35" borderId="13" xfId="0" applyFont="1" applyFill="1" applyBorder="1" applyAlignment="1">
      <alignment horizontal="left"/>
    </xf>
    <xf numFmtId="0" fontId="148" fillId="0" borderId="0" xfId="0" applyFont="1"/>
    <xf numFmtId="0" fontId="142" fillId="0" borderId="0" xfId="0" applyFont="1" applyFill="1" applyBorder="1" applyAlignment="1">
      <alignment horizontal="center" vertical="top" wrapText="1"/>
    </xf>
    <xf numFmtId="0" fontId="25" fillId="0" borderId="0" xfId="0" applyFont="1" applyFill="1" applyBorder="1" applyAlignment="1">
      <alignment horizontal="left" vertical="top" wrapText="1"/>
    </xf>
    <xf numFmtId="14" fontId="25" fillId="0" borderId="0" xfId="0" applyNumberFormat="1" applyFont="1" applyFill="1" applyBorder="1" applyAlignment="1">
      <alignment horizontal="left" vertical="top" wrapText="1"/>
    </xf>
    <xf numFmtId="0" fontId="130" fillId="20" borderId="73" xfId="0" applyFont="1" applyFill="1" applyBorder="1" applyAlignment="1">
      <alignment horizontal="center"/>
    </xf>
    <xf numFmtId="0" fontId="130" fillId="20" borderId="74" xfId="0" applyFont="1" applyFill="1" applyBorder="1" applyAlignment="1">
      <alignment horizontal="center"/>
    </xf>
    <xf numFmtId="0" fontId="130" fillId="20" borderId="75" xfId="0" applyFont="1" applyFill="1" applyBorder="1" applyAlignment="1">
      <alignment horizontal="center"/>
    </xf>
    <xf numFmtId="0" fontId="130" fillId="20" borderId="73" xfId="0" applyFont="1" applyFill="1" applyBorder="1" applyAlignment="1">
      <alignment horizontal="center" wrapText="1"/>
    </xf>
    <xf numFmtId="0" fontId="130" fillId="20" borderId="74" xfId="0" applyFont="1" applyFill="1" applyBorder="1" applyAlignment="1">
      <alignment horizontal="center" wrapText="1"/>
    </xf>
    <xf numFmtId="0" fontId="126" fillId="35" borderId="15" xfId="0" applyFont="1" applyFill="1" applyBorder="1" applyAlignment="1">
      <alignment horizontal="left" vertical="top" wrapText="1"/>
    </xf>
    <xf numFmtId="0" fontId="126" fillId="35" borderId="0" xfId="0" applyFont="1" applyFill="1" applyBorder="1" applyAlignment="1">
      <alignment horizontal="left" vertical="top" wrapText="1"/>
    </xf>
    <xf numFmtId="0" fontId="127" fillId="20" borderId="13" xfId="0" quotePrefix="1" applyFont="1" applyFill="1" applyBorder="1" applyAlignment="1">
      <alignment horizontal="center" wrapText="1"/>
    </xf>
    <xf numFmtId="0" fontId="127" fillId="20" borderId="13" xfId="0" applyFont="1" applyFill="1" applyBorder="1" applyAlignment="1">
      <alignment horizontal="center" wrapText="1"/>
    </xf>
    <xf numFmtId="0" fontId="130" fillId="20" borderId="76" xfId="0" applyFont="1" applyFill="1" applyBorder="1" applyAlignment="1">
      <alignment horizontal="center"/>
    </xf>
    <xf numFmtId="0" fontId="130" fillId="20" borderId="77" xfId="0" applyFont="1" applyFill="1" applyBorder="1" applyAlignment="1">
      <alignment horizontal="center"/>
    </xf>
    <xf numFmtId="0" fontId="130" fillId="20" borderId="78" xfId="0" applyFont="1" applyFill="1" applyBorder="1" applyAlignment="1">
      <alignment horizontal="center"/>
    </xf>
    <xf numFmtId="0" fontId="136" fillId="0" borderId="79" xfId="0" applyFont="1" applyBorder="1" applyAlignment="1">
      <alignment horizontal="left" vertical="top" wrapText="1"/>
    </xf>
    <xf numFmtId="0" fontId="136" fillId="0" borderId="0" xfId="0" applyFont="1" applyBorder="1" applyAlignment="1">
      <alignment horizontal="left" vertical="top" wrapText="1"/>
    </xf>
    <xf numFmtId="0" fontId="130" fillId="20" borderId="0" xfId="0" applyFont="1" applyFill="1" applyBorder="1" applyAlignment="1">
      <alignment horizontal="center" vertical="center"/>
    </xf>
    <xf numFmtId="0" fontId="145" fillId="0" borderId="0" xfId="0" applyFont="1" applyAlignment="1">
      <alignment horizontal="left" vertical="top" wrapText="1"/>
    </xf>
    <xf numFmtId="0" fontId="146" fillId="0" borderId="0" xfId="0" applyFont="1" applyAlignment="1">
      <alignment horizontal="left" vertical="top" wrapText="1"/>
    </xf>
    <xf numFmtId="0" fontId="106" fillId="0" borderId="0" xfId="181" applyFont="1" applyAlignment="1">
      <alignment horizontal="center" wrapText="1"/>
    </xf>
    <xf numFmtId="0" fontId="106" fillId="0" borderId="33" xfId="181" applyFont="1" applyBorder="1" applyAlignment="1">
      <alignment horizontal="left" vertical="top" wrapText="1"/>
    </xf>
    <xf numFmtId="0" fontId="106" fillId="0" borderId="52" xfId="181" applyFont="1" applyBorder="1" applyAlignment="1">
      <alignment horizontal="left" vertical="top" wrapText="1"/>
    </xf>
    <xf numFmtId="0" fontId="106" fillId="0" borderId="53" xfId="181" applyFont="1" applyBorder="1" applyAlignment="1">
      <alignment horizontal="left" vertical="top" wrapText="1"/>
    </xf>
    <xf numFmtId="0" fontId="106" fillId="0" borderId="33" xfId="181" applyFont="1" applyBorder="1" applyAlignment="1">
      <alignment horizontal="center" vertical="top" wrapText="1"/>
    </xf>
    <xf numFmtId="0" fontId="106" fillId="0" borderId="53" xfId="181" applyFont="1" applyBorder="1" applyAlignment="1">
      <alignment horizontal="center" vertical="top" wrapText="1"/>
    </xf>
    <xf numFmtId="0" fontId="93" fillId="0" borderId="0" xfId="181" applyFont="1" applyAlignment="1">
      <alignment horizontal="left" vertical="top" wrapText="1"/>
    </xf>
    <xf numFmtId="0" fontId="144" fillId="0" borderId="0" xfId="0" applyFont="1" applyAlignment="1">
      <alignment horizontal="left" vertical="center" wrapText="1"/>
    </xf>
    <xf numFmtId="0" fontId="24" fillId="0" borderId="0" xfId="0" applyFont="1" applyAlignment="1">
      <alignment horizontal="left"/>
    </xf>
    <xf numFmtId="0" fontId="47" fillId="0" borderId="0" xfId="0" applyFont="1" applyAlignment="1">
      <alignment horizontal="left" vertical="top" wrapText="1"/>
    </xf>
    <xf numFmtId="180" fontId="44" fillId="31" borderId="50" xfId="0" applyNumberFormat="1" applyFont="1" applyFill="1" applyBorder="1" applyAlignment="1">
      <alignment horizontal="center" vertical="center"/>
    </xf>
    <xf numFmtId="0" fontId="50" fillId="0" borderId="0" xfId="0" applyFont="1" applyAlignment="1">
      <alignment horizontal="center" vertical="center"/>
    </xf>
    <xf numFmtId="0" fontId="44" fillId="16" borderId="23" xfId="3" applyFont="1" applyFill="1" applyBorder="1" applyAlignment="1">
      <alignment horizontal="center" vertical="center"/>
    </xf>
    <xf numFmtId="0" fontId="44" fillId="16" borderId="28" xfId="3" applyFont="1" applyFill="1" applyBorder="1" applyAlignment="1">
      <alignment horizontal="center" vertical="center"/>
    </xf>
    <xf numFmtId="0" fontId="112" fillId="20" borderId="33" xfId="3" applyFont="1" applyFill="1" applyBorder="1" applyAlignment="1">
      <alignment horizontal="left" vertical="center"/>
    </xf>
    <xf numFmtId="0" fontId="112" fillId="20" borderId="52" xfId="3" applyFont="1" applyFill="1" applyBorder="1" applyAlignment="1">
      <alignment horizontal="left" vertical="center"/>
    </xf>
    <xf numFmtId="0" fontId="112" fillId="20" borderId="53" xfId="3" applyFont="1" applyFill="1" applyBorder="1" applyAlignment="1">
      <alignment horizontal="left" vertical="center"/>
    </xf>
    <xf numFmtId="0" fontId="112" fillId="20" borderId="33" xfId="3" applyFont="1" applyFill="1" applyBorder="1" applyAlignment="1">
      <alignment horizontal="center" vertical="center"/>
    </xf>
    <xf numFmtId="0" fontId="112" fillId="20" borderId="52" xfId="3" applyFont="1" applyFill="1" applyBorder="1" applyAlignment="1">
      <alignment horizontal="center" vertical="center"/>
    </xf>
    <xf numFmtId="0" fontId="112" fillId="20" borderId="53" xfId="3" applyFont="1" applyFill="1" applyBorder="1" applyAlignment="1">
      <alignment horizontal="center" vertical="center"/>
    </xf>
    <xf numFmtId="0" fontId="121" fillId="0" borderId="33" xfId="0" applyFont="1" applyFill="1" applyBorder="1" applyAlignment="1">
      <alignment horizontal="left" vertical="center" wrapText="1"/>
    </xf>
    <xf numFmtId="0" fontId="121" fillId="0" borderId="52" xfId="0" applyFont="1" applyFill="1" applyBorder="1" applyAlignment="1">
      <alignment horizontal="left" vertical="center" wrapText="1"/>
    </xf>
    <xf numFmtId="0" fontId="121" fillId="0" borderId="64" xfId="0" applyFont="1" applyFill="1" applyBorder="1" applyAlignment="1">
      <alignment horizontal="left" vertical="center" wrapText="1"/>
    </xf>
    <xf numFmtId="0" fontId="118" fillId="33" borderId="9" xfId="0" applyFont="1" applyFill="1" applyBorder="1" applyAlignment="1">
      <alignment horizontal="left" vertical="top" wrapText="1"/>
    </xf>
    <xf numFmtId="0" fontId="117" fillId="32" borderId="0" xfId="0" applyFont="1" applyFill="1" applyAlignment="1">
      <alignment horizontal="center" vertical="center" wrapText="1"/>
    </xf>
    <xf numFmtId="0" fontId="119" fillId="33" borderId="9" xfId="0" applyFont="1" applyFill="1" applyBorder="1" applyAlignment="1">
      <alignment horizontal="center" vertical="center" wrapText="1"/>
    </xf>
    <xf numFmtId="0" fontId="119" fillId="34" borderId="9" xfId="0" applyFont="1" applyFill="1" applyBorder="1" applyAlignment="1">
      <alignment horizontal="center" vertical="center" wrapText="1"/>
    </xf>
    <xf numFmtId="0" fontId="118" fillId="34" borderId="9" xfId="0" applyFont="1" applyFill="1" applyBorder="1" applyAlignment="1">
      <alignment horizontal="left" vertical="top" wrapText="1"/>
    </xf>
    <xf numFmtId="0" fontId="25" fillId="12" borderId="0" xfId="0" applyFont="1" applyFill="1" applyBorder="1" applyAlignment="1">
      <alignment horizontal="center" vertical="center"/>
    </xf>
    <xf numFmtId="0" fontId="28" fillId="5" borderId="41" xfId="0" applyFont="1" applyFill="1" applyBorder="1" applyAlignment="1">
      <alignment horizontal="center"/>
    </xf>
    <xf numFmtId="0" fontId="28" fillId="5" borderId="42" xfId="0" applyFont="1" applyFill="1" applyBorder="1" applyAlignment="1">
      <alignment horizontal="center"/>
    </xf>
    <xf numFmtId="0" fontId="28" fillId="5" borderId="43" xfId="0" applyFont="1" applyFill="1" applyBorder="1" applyAlignment="1">
      <alignment horizontal="center"/>
    </xf>
    <xf numFmtId="0" fontId="28" fillId="5" borderId="0" xfId="0" applyFont="1" applyFill="1" applyAlignment="1">
      <alignment horizontal="center"/>
    </xf>
    <xf numFmtId="0" fontId="0" fillId="0" borderId="42" xfId="0" applyBorder="1" applyAlignment="1">
      <alignment horizontal="center"/>
    </xf>
    <xf numFmtId="0" fontId="39" fillId="5" borderId="12" xfId="0" applyFont="1" applyFill="1" applyBorder="1" applyAlignment="1">
      <alignment horizontal="center" vertical="center"/>
    </xf>
    <xf numFmtId="0" fontId="39" fillId="5" borderId="13" xfId="0" applyFont="1" applyFill="1" applyBorder="1" applyAlignment="1">
      <alignment horizontal="center" vertical="center"/>
    </xf>
    <xf numFmtId="0" fontId="39" fillId="5" borderId="14" xfId="0" applyFont="1" applyFill="1" applyBorder="1" applyAlignment="1">
      <alignment horizontal="center" vertical="center"/>
    </xf>
    <xf numFmtId="0" fontId="39" fillId="5" borderId="17" xfId="0" applyFont="1" applyFill="1" applyBorder="1" applyAlignment="1">
      <alignment horizontal="center" vertical="center"/>
    </xf>
    <xf numFmtId="0" fontId="39" fillId="5" borderId="18" xfId="0" applyFont="1" applyFill="1" applyBorder="1" applyAlignment="1">
      <alignment horizontal="center" vertical="center"/>
    </xf>
    <xf numFmtId="0" fontId="39" fillId="5" borderId="19" xfId="0" applyFont="1" applyFill="1" applyBorder="1" applyAlignment="1">
      <alignment horizontal="center" vertical="center"/>
    </xf>
    <xf numFmtId="0" fontId="49" fillId="5" borderId="32" xfId="2" applyFont="1" applyFill="1" applyBorder="1" applyAlignment="1">
      <alignment horizontal="center" vertical="center"/>
    </xf>
    <xf numFmtId="0" fontId="35" fillId="19" borderId="29" xfId="3" applyFont="1" applyFill="1" applyBorder="1" applyAlignment="1">
      <alignment horizontal="center" vertical="center"/>
    </xf>
    <xf numFmtId="0" fontId="35" fillId="19" borderId="30" xfId="3" applyFont="1" applyFill="1" applyBorder="1" applyAlignment="1">
      <alignment horizontal="center" vertical="center"/>
    </xf>
    <xf numFmtId="0" fontId="35" fillId="19" borderId="31" xfId="3" applyFont="1" applyFill="1" applyBorder="1" applyAlignment="1">
      <alignment horizontal="center" vertical="center"/>
    </xf>
    <xf numFmtId="0" fontId="35" fillId="20" borderId="32" xfId="0" applyFont="1" applyFill="1" applyBorder="1" applyAlignment="1">
      <alignment horizontal="center" vertical="center"/>
    </xf>
    <xf numFmtId="0" fontId="24" fillId="0" borderId="1" xfId="0" applyFont="1" applyBorder="1" applyAlignment="1">
      <alignment horizontal="center"/>
    </xf>
    <xf numFmtId="0" fontId="35" fillId="19" borderId="29" xfId="3" applyNumberFormat="1" applyFont="1" applyFill="1" applyBorder="1" applyAlignment="1">
      <alignment horizontal="center" vertical="center"/>
    </xf>
    <xf numFmtId="0" fontId="35" fillId="19" borderId="30" xfId="3" applyNumberFormat="1" applyFont="1" applyFill="1" applyBorder="1" applyAlignment="1">
      <alignment horizontal="center" vertical="center"/>
    </xf>
    <xf numFmtId="0" fontId="35" fillId="19" borderId="31" xfId="3" applyNumberFormat="1" applyFont="1" applyFill="1" applyBorder="1" applyAlignment="1">
      <alignment horizontal="center" vertical="center"/>
    </xf>
    <xf numFmtId="0" fontId="85" fillId="5" borderId="12" xfId="0" applyFont="1" applyFill="1" applyBorder="1" applyAlignment="1">
      <alignment horizontal="center" vertical="center"/>
    </xf>
    <xf numFmtId="0" fontId="85" fillId="5" borderId="13" xfId="0" applyFont="1" applyFill="1" applyBorder="1" applyAlignment="1">
      <alignment horizontal="center" vertical="center"/>
    </xf>
    <xf numFmtId="0" fontId="85" fillId="5" borderId="14" xfId="0" applyFont="1" applyFill="1" applyBorder="1" applyAlignment="1">
      <alignment horizontal="center" vertical="center"/>
    </xf>
    <xf numFmtId="0" fontId="38" fillId="12" borderId="0" xfId="2" applyFont="1" applyFill="1" applyBorder="1" applyAlignment="1">
      <alignment horizontal="center" vertical="center"/>
    </xf>
    <xf numFmtId="0" fontId="35" fillId="15" borderId="0" xfId="3" applyFont="1" applyFill="1" applyBorder="1" applyAlignment="1">
      <alignment horizontal="center" vertical="center"/>
    </xf>
    <xf numFmtId="0" fontId="35" fillId="15" borderId="20" xfId="3" applyFont="1" applyFill="1" applyBorder="1" applyAlignment="1">
      <alignment horizontal="center" vertical="center"/>
    </xf>
    <xf numFmtId="0" fontId="39" fillId="5" borderId="15" xfId="0" applyFont="1" applyFill="1" applyBorder="1" applyAlignment="1">
      <alignment horizontal="center" vertical="center"/>
    </xf>
    <xf numFmtId="0" fontId="39" fillId="5" borderId="0" xfId="0" applyFont="1" applyFill="1" applyBorder="1" applyAlignment="1">
      <alignment horizontal="center" vertical="center"/>
    </xf>
    <xf numFmtId="0" fontId="39" fillId="5" borderId="16" xfId="0" applyFont="1" applyFill="1" applyBorder="1" applyAlignment="1">
      <alignment horizontal="center" vertical="center"/>
    </xf>
    <xf numFmtId="0" fontId="65" fillId="7" borderId="0" xfId="5" applyFont="1" applyFill="1" applyAlignment="1">
      <alignment horizontal="center" vertical="center"/>
    </xf>
    <xf numFmtId="0" fontId="59" fillId="12" borderId="0" xfId="5" applyFont="1" applyFill="1" applyAlignment="1">
      <alignment horizontal="center"/>
    </xf>
    <xf numFmtId="0" fontId="60" fillId="0" borderId="0" xfId="5" applyFont="1" applyAlignment="1">
      <alignment horizontal="center"/>
    </xf>
    <xf numFmtId="0" fontId="62" fillId="24" borderId="0" xfId="5" applyFont="1" applyFill="1" applyAlignment="1">
      <alignment horizontal="center"/>
    </xf>
    <xf numFmtId="0" fontId="27" fillId="14" borderId="12" xfId="0" applyFont="1" applyFill="1" applyBorder="1" applyAlignment="1">
      <alignment horizontal="center"/>
    </xf>
    <xf numFmtId="0" fontId="27" fillId="14" borderId="13" xfId="0" applyFont="1" applyFill="1" applyBorder="1" applyAlignment="1">
      <alignment horizontal="center"/>
    </xf>
    <xf numFmtId="0" fontId="27" fillId="14" borderId="14" xfId="0" applyFont="1" applyFill="1" applyBorder="1" applyAlignment="1">
      <alignment horizontal="center"/>
    </xf>
    <xf numFmtId="0" fontId="28" fillId="0" borderId="18" xfId="0" applyFont="1" applyBorder="1" applyAlignment="1">
      <alignment horizontal="center"/>
    </xf>
    <xf numFmtId="0" fontId="28" fillId="0" borderId="0" xfId="0" applyFont="1" applyAlignment="1">
      <alignment horizontal="center"/>
    </xf>
    <xf numFmtId="0" fontId="28" fillId="0" borderId="10" xfId="0" applyFont="1" applyBorder="1" applyAlignment="1">
      <alignment horizontal="center"/>
    </xf>
    <xf numFmtId="0" fontId="130" fillId="20" borderId="84" xfId="0" applyFont="1" applyFill="1" applyBorder="1" applyAlignment="1">
      <alignment horizontal="center"/>
    </xf>
    <xf numFmtId="0" fontId="130" fillId="20" borderId="83" xfId="0" applyFont="1" applyFill="1" applyBorder="1" applyAlignment="1">
      <alignment horizontal="center"/>
    </xf>
    <xf numFmtId="0" fontId="149" fillId="0" borderId="9" xfId="0" applyFont="1" applyBorder="1" applyAlignment="1">
      <alignment horizontal="left" vertical="top" wrapText="1"/>
    </xf>
    <xf numFmtId="0" fontId="130" fillId="20" borderId="85" xfId="0" applyFont="1" applyFill="1" applyBorder="1" applyAlignment="1">
      <alignment horizontal="center"/>
    </xf>
  </cellXfs>
  <cellStyles count="5579">
    <cellStyle name="Comma 2" xfId="6" xr:uid="{00000000-0005-0000-0000-000000000000}"/>
    <cellStyle name="Comma 2 10" xfId="7" xr:uid="{00000000-0005-0000-0000-000001000000}"/>
    <cellStyle name="Comma 2 2" xfId="8" xr:uid="{00000000-0005-0000-0000-000002000000}"/>
    <cellStyle name="Comma 2 3" xfId="9" xr:uid="{00000000-0005-0000-0000-000003000000}"/>
    <cellStyle name="Comma 2 4" xfId="10" xr:uid="{00000000-0005-0000-0000-000004000000}"/>
    <cellStyle name="Comma 2 5" xfId="11" xr:uid="{00000000-0005-0000-0000-000005000000}"/>
    <cellStyle name="Comma 2 6" xfId="12" xr:uid="{00000000-0005-0000-0000-000006000000}"/>
    <cellStyle name="Comma 2 7" xfId="13" xr:uid="{00000000-0005-0000-0000-000007000000}"/>
    <cellStyle name="Comma 2 8" xfId="14" xr:uid="{00000000-0005-0000-0000-000008000000}"/>
    <cellStyle name="Comma 2 9" xfId="15" xr:uid="{00000000-0005-0000-0000-000009000000}"/>
    <cellStyle name="Comma 3" xfId="16" xr:uid="{00000000-0005-0000-0000-00000A000000}"/>
    <cellStyle name="Comma 3 2" xfId="17" xr:uid="{00000000-0005-0000-0000-00000B000000}"/>
    <cellStyle name="Comma 4" xfId="18" xr:uid="{00000000-0005-0000-0000-00000C000000}"/>
    <cellStyle name="Comma 5" xfId="19" xr:uid="{00000000-0005-0000-0000-00000D000000}"/>
    <cellStyle name="Comma 5 2" xfId="20" xr:uid="{00000000-0005-0000-0000-00000E000000}"/>
    <cellStyle name="Comma 6" xfId="21" xr:uid="{00000000-0005-0000-0000-00000F000000}"/>
    <cellStyle name="Currency" xfId="1" builtinId="4"/>
    <cellStyle name="Currency 10" xfId="96" xr:uid="{00000000-0005-0000-0000-000011000000}"/>
    <cellStyle name="Currency 11" xfId="353" xr:uid="{00000000-0005-0000-0000-000012000000}"/>
    <cellStyle name="Currency 12" xfId="2843" xr:uid="{00000000-0005-0000-0000-000013000000}"/>
    <cellStyle name="Currency 2" xfId="22" xr:uid="{00000000-0005-0000-0000-000014000000}"/>
    <cellStyle name="Currency 2 10" xfId="23" xr:uid="{00000000-0005-0000-0000-000015000000}"/>
    <cellStyle name="Currency 2 2" xfId="24" xr:uid="{00000000-0005-0000-0000-000016000000}"/>
    <cellStyle name="Currency 2 3" xfId="25" xr:uid="{00000000-0005-0000-0000-000017000000}"/>
    <cellStyle name="Currency 2 4" xfId="26" xr:uid="{00000000-0005-0000-0000-000018000000}"/>
    <cellStyle name="Currency 2 5" xfId="27" xr:uid="{00000000-0005-0000-0000-000019000000}"/>
    <cellStyle name="Currency 2 6" xfId="28" xr:uid="{00000000-0005-0000-0000-00001A000000}"/>
    <cellStyle name="Currency 2 7" xfId="29" xr:uid="{00000000-0005-0000-0000-00001B000000}"/>
    <cellStyle name="Currency 2 8" xfId="30" xr:uid="{00000000-0005-0000-0000-00001C000000}"/>
    <cellStyle name="Currency 2 9" xfId="31" xr:uid="{00000000-0005-0000-0000-00001D000000}"/>
    <cellStyle name="Currency 3" xfId="32" xr:uid="{00000000-0005-0000-0000-00001E000000}"/>
    <cellStyle name="Currency 3 2" xfId="33" xr:uid="{00000000-0005-0000-0000-00001F000000}"/>
    <cellStyle name="Currency 4" xfId="34" xr:uid="{00000000-0005-0000-0000-000020000000}"/>
    <cellStyle name="Currency 5" xfId="35" xr:uid="{00000000-0005-0000-0000-000021000000}"/>
    <cellStyle name="Currency 6" xfId="36" xr:uid="{00000000-0005-0000-0000-000022000000}"/>
    <cellStyle name="Currency 7" xfId="37" xr:uid="{00000000-0005-0000-0000-000023000000}"/>
    <cellStyle name="Currency 8" xfId="38" xr:uid="{00000000-0005-0000-0000-000024000000}"/>
    <cellStyle name="Currency 9" xfId="39" xr:uid="{00000000-0005-0000-0000-000025000000}"/>
    <cellStyle name="Entries" xfId="126" xr:uid="{00000000-0005-0000-0000-000026000000}"/>
    <cellStyle name="Good" xfId="2" builtinId="26"/>
    <cellStyle name="Good 2" xfId="40" xr:uid="{00000000-0005-0000-0000-000028000000}"/>
    <cellStyle name="Good 3" xfId="2844" xr:uid="{00000000-0005-0000-0000-000029000000}"/>
    <cellStyle name="Hyperlink" xfId="110" builtinId="8"/>
    <cellStyle name="Neutral" xfId="3" builtinId="28"/>
    <cellStyle name="Neutral 2" xfId="41" xr:uid="{00000000-0005-0000-0000-00002C000000}"/>
    <cellStyle name="Neutral 3" xfId="2845" xr:uid="{00000000-0005-0000-0000-00002D000000}"/>
    <cellStyle name="Normal" xfId="0" builtinId="0"/>
    <cellStyle name="Normal 10" xfId="42" xr:uid="{00000000-0005-0000-0000-00002F000000}"/>
    <cellStyle name="Normal 11" xfId="43" xr:uid="{00000000-0005-0000-0000-000030000000}"/>
    <cellStyle name="Normal 11 2" xfId="44" xr:uid="{00000000-0005-0000-0000-000031000000}"/>
    <cellStyle name="Normal 12" xfId="45" xr:uid="{00000000-0005-0000-0000-000032000000}"/>
    <cellStyle name="Normal 12 10" xfId="297" xr:uid="{00000000-0005-0000-0000-000033000000}"/>
    <cellStyle name="Normal 12 10 2" xfId="750" xr:uid="{00000000-0005-0000-0000-000034000000}"/>
    <cellStyle name="Normal 12 10 2 2" xfId="1700" xr:uid="{00000000-0005-0000-0000-000035000000}"/>
    <cellStyle name="Normal 12 10 2 2 2" xfId="4437" xr:uid="{00000000-0005-0000-0000-000036000000}"/>
    <cellStyle name="Normal 12 10 2 3" xfId="2592" xr:uid="{00000000-0005-0000-0000-000037000000}"/>
    <cellStyle name="Normal 12 10 2 3 2" xfId="5329" xr:uid="{00000000-0005-0000-0000-000038000000}"/>
    <cellStyle name="Normal 12 10 2 4" xfId="3490" xr:uid="{00000000-0005-0000-0000-000039000000}"/>
    <cellStyle name="Normal 12 10 3" xfId="1253" xr:uid="{00000000-0005-0000-0000-00003A000000}"/>
    <cellStyle name="Normal 12 10 3 2" xfId="3990" xr:uid="{00000000-0005-0000-0000-00003B000000}"/>
    <cellStyle name="Normal 12 10 4" xfId="2145" xr:uid="{00000000-0005-0000-0000-00003C000000}"/>
    <cellStyle name="Normal 12 10 4 2" xfId="4882" xr:uid="{00000000-0005-0000-0000-00003D000000}"/>
    <cellStyle name="Normal 12 10 5" xfId="3043" xr:uid="{00000000-0005-0000-0000-00003E000000}"/>
    <cellStyle name="Normal 12 11" xfId="356" xr:uid="{00000000-0005-0000-0000-00003F000000}"/>
    <cellStyle name="Normal 12 11 2" xfId="804" xr:uid="{00000000-0005-0000-0000-000040000000}"/>
    <cellStyle name="Normal 12 11 2 2" xfId="1754" xr:uid="{00000000-0005-0000-0000-000041000000}"/>
    <cellStyle name="Normal 12 11 2 2 2" xfId="4491" xr:uid="{00000000-0005-0000-0000-000042000000}"/>
    <cellStyle name="Normal 12 11 2 3" xfId="2646" xr:uid="{00000000-0005-0000-0000-000043000000}"/>
    <cellStyle name="Normal 12 11 2 3 2" xfId="5383" xr:uid="{00000000-0005-0000-0000-000044000000}"/>
    <cellStyle name="Normal 12 11 2 4" xfId="3544" xr:uid="{00000000-0005-0000-0000-000045000000}"/>
    <cellStyle name="Normal 12 11 3" xfId="1307" xr:uid="{00000000-0005-0000-0000-000046000000}"/>
    <cellStyle name="Normal 12 11 3 2" xfId="4044" xr:uid="{00000000-0005-0000-0000-000047000000}"/>
    <cellStyle name="Normal 12 11 4" xfId="2199" xr:uid="{00000000-0005-0000-0000-000048000000}"/>
    <cellStyle name="Normal 12 11 4 2" xfId="4936" xr:uid="{00000000-0005-0000-0000-000049000000}"/>
    <cellStyle name="Normal 12 11 5" xfId="3097" xr:uid="{00000000-0005-0000-0000-00004A000000}"/>
    <cellStyle name="Normal 12 12" xfId="551" xr:uid="{00000000-0005-0000-0000-00004B000000}"/>
    <cellStyle name="Normal 12 12 2" xfId="1502" xr:uid="{00000000-0005-0000-0000-00004C000000}"/>
    <cellStyle name="Normal 12 12 2 2" xfId="4239" xr:uid="{00000000-0005-0000-0000-00004D000000}"/>
    <cellStyle name="Normal 12 12 3" xfId="2394" xr:uid="{00000000-0005-0000-0000-00004E000000}"/>
    <cellStyle name="Normal 12 12 3 2" xfId="5131" xr:uid="{00000000-0005-0000-0000-00004F000000}"/>
    <cellStyle name="Normal 12 12 4" xfId="3292" xr:uid="{00000000-0005-0000-0000-000050000000}"/>
    <cellStyle name="Normal 12 13" xfId="999" xr:uid="{00000000-0005-0000-0000-000051000000}"/>
    <cellStyle name="Normal 12 13 2" xfId="3739" xr:uid="{00000000-0005-0000-0000-000052000000}"/>
    <cellStyle name="Normal 12 14" xfId="1058" xr:uid="{00000000-0005-0000-0000-000053000000}"/>
    <cellStyle name="Normal 12 14 2" xfId="3795" xr:uid="{00000000-0005-0000-0000-000054000000}"/>
    <cellStyle name="Normal 12 15" xfId="1950" xr:uid="{00000000-0005-0000-0000-000055000000}"/>
    <cellStyle name="Normal 12 15 2" xfId="4687" xr:uid="{00000000-0005-0000-0000-000056000000}"/>
    <cellStyle name="Normal 12 16" xfId="2848" xr:uid="{00000000-0005-0000-0000-000057000000}"/>
    <cellStyle name="Normal 12 2" xfId="46" xr:uid="{00000000-0005-0000-0000-000058000000}"/>
    <cellStyle name="Normal 12 3" xfId="92" xr:uid="{00000000-0005-0000-0000-000059000000}"/>
    <cellStyle name="Normal 12 3 10" xfId="1061" xr:uid="{00000000-0005-0000-0000-00005A000000}"/>
    <cellStyle name="Normal 12 3 10 2" xfId="3798" xr:uid="{00000000-0005-0000-0000-00005B000000}"/>
    <cellStyle name="Normal 12 3 11" xfId="1953" xr:uid="{00000000-0005-0000-0000-00005C000000}"/>
    <cellStyle name="Normal 12 3 11 2" xfId="4690" xr:uid="{00000000-0005-0000-0000-00005D000000}"/>
    <cellStyle name="Normal 12 3 12" xfId="2851" xr:uid="{00000000-0005-0000-0000-00005E000000}"/>
    <cellStyle name="Normal 12 3 2" xfId="112" xr:uid="{00000000-0005-0000-0000-00005F000000}"/>
    <cellStyle name="Normal 12 3 2 10" xfId="2867" xr:uid="{00000000-0005-0000-0000-000060000000}"/>
    <cellStyle name="Normal 12 3 2 2" xfId="160" xr:uid="{00000000-0005-0000-0000-000061000000}"/>
    <cellStyle name="Normal 12 3 2 2 2" xfId="273" xr:uid="{00000000-0005-0000-0000-000062000000}"/>
    <cellStyle name="Normal 12 3 2 2 2 2" xfId="527" xr:uid="{00000000-0005-0000-0000-000063000000}"/>
    <cellStyle name="Normal 12 3 2 2 2 2 2" xfId="975" xr:uid="{00000000-0005-0000-0000-000064000000}"/>
    <cellStyle name="Normal 12 3 2 2 2 2 2 2" xfId="1925" xr:uid="{00000000-0005-0000-0000-000065000000}"/>
    <cellStyle name="Normal 12 3 2 2 2 2 2 2 2" xfId="4662" xr:uid="{00000000-0005-0000-0000-000066000000}"/>
    <cellStyle name="Normal 12 3 2 2 2 2 2 3" xfId="2817" xr:uid="{00000000-0005-0000-0000-000067000000}"/>
    <cellStyle name="Normal 12 3 2 2 2 2 2 3 2" xfId="5554" xr:uid="{00000000-0005-0000-0000-000068000000}"/>
    <cellStyle name="Normal 12 3 2 2 2 2 2 4" xfId="3715" xr:uid="{00000000-0005-0000-0000-000069000000}"/>
    <cellStyle name="Normal 12 3 2 2 2 2 3" xfId="1478" xr:uid="{00000000-0005-0000-0000-00006A000000}"/>
    <cellStyle name="Normal 12 3 2 2 2 2 3 2" xfId="4215" xr:uid="{00000000-0005-0000-0000-00006B000000}"/>
    <cellStyle name="Normal 12 3 2 2 2 2 4" xfId="2370" xr:uid="{00000000-0005-0000-0000-00006C000000}"/>
    <cellStyle name="Normal 12 3 2 2 2 2 4 2" xfId="5107" xr:uid="{00000000-0005-0000-0000-00006D000000}"/>
    <cellStyle name="Normal 12 3 2 2 2 2 5" xfId="3268" xr:uid="{00000000-0005-0000-0000-00006E000000}"/>
    <cellStyle name="Normal 12 3 2 2 2 3" xfId="726" xr:uid="{00000000-0005-0000-0000-00006F000000}"/>
    <cellStyle name="Normal 12 3 2 2 2 3 2" xfId="1676" xr:uid="{00000000-0005-0000-0000-000070000000}"/>
    <cellStyle name="Normal 12 3 2 2 2 3 2 2" xfId="4413" xr:uid="{00000000-0005-0000-0000-000071000000}"/>
    <cellStyle name="Normal 12 3 2 2 2 3 3" xfId="2568" xr:uid="{00000000-0005-0000-0000-000072000000}"/>
    <cellStyle name="Normal 12 3 2 2 2 3 3 2" xfId="5305" xr:uid="{00000000-0005-0000-0000-000073000000}"/>
    <cellStyle name="Normal 12 3 2 2 2 3 4" xfId="3466" xr:uid="{00000000-0005-0000-0000-000074000000}"/>
    <cellStyle name="Normal 12 3 2 2 2 4" xfId="1229" xr:uid="{00000000-0005-0000-0000-000075000000}"/>
    <cellStyle name="Normal 12 3 2 2 2 4 2" xfId="3966" xr:uid="{00000000-0005-0000-0000-000076000000}"/>
    <cellStyle name="Normal 12 3 2 2 2 5" xfId="2121" xr:uid="{00000000-0005-0000-0000-000077000000}"/>
    <cellStyle name="Normal 12 3 2 2 2 5 2" xfId="4858" xr:uid="{00000000-0005-0000-0000-000078000000}"/>
    <cellStyle name="Normal 12 3 2 2 2 6" xfId="3019" xr:uid="{00000000-0005-0000-0000-000079000000}"/>
    <cellStyle name="Normal 12 3 2 2 3" xfId="416" xr:uid="{00000000-0005-0000-0000-00007A000000}"/>
    <cellStyle name="Normal 12 3 2 2 3 2" xfId="864" xr:uid="{00000000-0005-0000-0000-00007B000000}"/>
    <cellStyle name="Normal 12 3 2 2 3 2 2" xfId="1814" xr:uid="{00000000-0005-0000-0000-00007C000000}"/>
    <cellStyle name="Normal 12 3 2 2 3 2 2 2" xfId="4551" xr:uid="{00000000-0005-0000-0000-00007D000000}"/>
    <cellStyle name="Normal 12 3 2 2 3 2 3" xfId="2706" xr:uid="{00000000-0005-0000-0000-00007E000000}"/>
    <cellStyle name="Normal 12 3 2 2 3 2 3 2" xfId="5443" xr:uid="{00000000-0005-0000-0000-00007F000000}"/>
    <cellStyle name="Normal 12 3 2 2 3 2 4" xfId="3604" xr:uid="{00000000-0005-0000-0000-000080000000}"/>
    <cellStyle name="Normal 12 3 2 2 3 3" xfId="1367" xr:uid="{00000000-0005-0000-0000-000081000000}"/>
    <cellStyle name="Normal 12 3 2 2 3 3 2" xfId="4104" xr:uid="{00000000-0005-0000-0000-000082000000}"/>
    <cellStyle name="Normal 12 3 2 2 3 4" xfId="2259" xr:uid="{00000000-0005-0000-0000-000083000000}"/>
    <cellStyle name="Normal 12 3 2 2 3 4 2" xfId="4996" xr:uid="{00000000-0005-0000-0000-000084000000}"/>
    <cellStyle name="Normal 12 3 2 2 3 5" xfId="3157" xr:uid="{00000000-0005-0000-0000-000085000000}"/>
    <cellStyle name="Normal 12 3 2 2 4" xfId="625" xr:uid="{00000000-0005-0000-0000-000086000000}"/>
    <cellStyle name="Normal 12 3 2 2 4 2" xfId="1575" xr:uid="{00000000-0005-0000-0000-000087000000}"/>
    <cellStyle name="Normal 12 3 2 2 4 2 2" xfId="4312" xr:uid="{00000000-0005-0000-0000-000088000000}"/>
    <cellStyle name="Normal 12 3 2 2 4 3" xfId="2467" xr:uid="{00000000-0005-0000-0000-000089000000}"/>
    <cellStyle name="Normal 12 3 2 2 4 3 2" xfId="5204" xr:uid="{00000000-0005-0000-0000-00008A000000}"/>
    <cellStyle name="Normal 12 3 2 2 4 4" xfId="3365" xr:uid="{00000000-0005-0000-0000-00008B000000}"/>
    <cellStyle name="Normal 12 3 2 2 5" xfId="1118" xr:uid="{00000000-0005-0000-0000-00008C000000}"/>
    <cellStyle name="Normal 12 3 2 2 5 2" xfId="3855" xr:uid="{00000000-0005-0000-0000-00008D000000}"/>
    <cellStyle name="Normal 12 3 2 2 6" xfId="2010" xr:uid="{00000000-0005-0000-0000-00008E000000}"/>
    <cellStyle name="Normal 12 3 2 2 6 2" xfId="4747" xr:uid="{00000000-0005-0000-0000-00008F000000}"/>
    <cellStyle name="Normal 12 3 2 2 7" xfId="2908" xr:uid="{00000000-0005-0000-0000-000090000000}"/>
    <cellStyle name="Normal 12 3 2 3" xfId="232" xr:uid="{00000000-0005-0000-0000-000091000000}"/>
    <cellStyle name="Normal 12 3 2 3 2" xfId="486" xr:uid="{00000000-0005-0000-0000-000092000000}"/>
    <cellStyle name="Normal 12 3 2 3 2 2" xfId="934" xr:uid="{00000000-0005-0000-0000-000093000000}"/>
    <cellStyle name="Normal 12 3 2 3 2 2 2" xfId="1884" xr:uid="{00000000-0005-0000-0000-000094000000}"/>
    <cellStyle name="Normal 12 3 2 3 2 2 2 2" xfId="4621" xr:uid="{00000000-0005-0000-0000-000095000000}"/>
    <cellStyle name="Normal 12 3 2 3 2 2 3" xfId="2776" xr:uid="{00000000-0005-0000-0000-000096000000}"/>
    <cellStyle name="Normal 12 3 2 3 2 2 3 2" xfId="5513" xr:uid="{00000000-0005-0000-0000-000097000000}"/>
    <cellStyle name="Normal 12 3 2 3 2 2 4" xfId="3674" xr:uid="{00000000-0005-0000-0000-000098000000}"/>
    <cellStyle name="Normal 12 3 2 3 2 3" xfId="1437" xr:uid="{00000000-0005-0000-0000-000099000000}"/>
    <cellStyle name="Normal 12 3 2 3 2 3 2" xfId="4174" xr:uid="{00000000-0005-0000-0000-00009A000000}"/>
    <cellStyle name="Normal 12 3 2 3 2 4" xfId="2329" xr:uid="{00000000-0005-0000-0000-00009B000000}"/>
    <cellStyle name="Normal 12 3 2 3 2 4 2" xfId="5066" xr:uid="{00000000-0005-0000-0000-00009C000000}"/>
    <cellStyle name="Normal 12 3 2 3 2 5" xfId="3227" xr:uid="{00000000-0005-0000-0000-00009D000000}"/>
    <cellStyle name="Normal 12 3 2 3 3" xfId="685" xr:uid="{00000000-0005-0000-0000-00009E000000}"/>
    <cellStyle name="Normal 12 3 2 3 3 2" xfId="1635" xr:uid="{00000000-0005-0000-0000-00009F000000}"/>
    <cellStyle name="Normal 12 3 2 3 3 2 2" xfId="4372" xr:uid="{00000000-0005-0000-0000-0000A0000000}"/>
    <cellStyle name="Normal 12 3 2 3 3 3" xfId="2527" xr:uid="{00000000-0005-0000-0000-0000A1000000}"/>
    <cellStyle name="Normal 12 3 2 3 3 3 2" xfId="5264" xr:uid="{00000000-0005-0000-0000-0000A2000000}"/>
    <cellStyle name="Normal 12 3 2 3 3 4" xfId="3425" xr:uid="{00000000-0005-0000-0000-0000A3000000}"/>
    <cellStyle name="Normal 12 3 2 3 4" xfId="1188" xr:uid="{00000000-0005-0000-0000-0000A4000000}"/>
    <cellStyle name="Normal 12 3 2 3 4 2" xfId="3925" xr:uid="{00000000-0005-0000-0000-0000A5000000}"/>
    <cellStyle name="Normal 12 3 2 3 5" xfId="2080" xr:uid="{00000000-0005-0000-0000-0000A6000000}"/>
    <cellStyle name="Normal 12 3 2 3 5 2" xfId="4817" xr:uid="{00000000-0005-0000-0000-0000A7000000}"/>
    <cellStyle name="Normal 12 3 2 3 6" xfId="2978" xr:uid="{00000000-0005-0000-0000-0000A8000000}"/>
    <cellStyle name="Normal 12 3 2 4" xfId="325" xr:uid="{00000000-0005-0000-0000-0000A9000000}"/>
    <cellStyle name="Normal 12 3 2 4 2" xfId="778" xr:uid="{00000000-0005-0000-0000-0000AA000000}"/>
    <cellStyle name="Normal 12 3 2 4 2 2" xfId="1728" xr:uid="{00000000-0005-0000-0000-0000AB000000}"/>
    <cellStyle name="Normal 12 3 2 4 2 2 2" xfId="4465" xr:uid="{00000000-0005-0000-0000-0000AC000000}"/>
    <cellStyle name="Normal 12 3 2 4 2 3" xfId="2620" xr:uid="{00000000-0005-0000-0000-0000AD000000}"/>
    <cellStyle name="Normal 12 3 2 4 2 3 2" xfId="5357" xr:uid="{00000000-0005-0000-0000-0000AE000000}"/>
    <cellStyle name="Normal 12 3 2 4 2 4" xfId="3518" xr:uid="{00000000-0005-0000-0000-0000AF000000}"/>
    <cellStyle name="Normal 12 3 2 4 3" xfId="1281" xr:uid="{00000000-0005-0000-0000-0000B0000000}"/>
    <cellStyle name="Normal 12 3 2 4 3 2" xfId="4018" xr:uid="{00000000-0005-0000-0000-0000B1000000}"/>
    <cellStyle name="Normal 12 3 2 4 4" xfId="2173" xr:uid="{00000000-0005-0000-0000-0000B2000000}"/>
    <cellStyle name="Normal 12 3 2 4 4 2" xfId="4910" xr:uid="{00000000-0005-0000-0000-0000B3000000}"/>
    <cellStyle name="Normal 12 3 2 4 5" xfId="3071" xr:uid="{00000000-0005-0000-0000-0000B4000000}"/>
    <cellStyle name="Normal 12 3 2 5" xfId="375" xr:uid="{00000000-0005-0000-0000-0000B5000000}"/>
    <cellStyle name="Normal 12 3 2 5 2" xfId="823" xr:uid="{00000000-0005-0000-0000-0000B6000000}"/>
    <cellStyle name="Normal 12 3 2 5 2 2" xfId="1773" xr:uid="{00000000-0005-0000-0000-0000B7000000}"/>
    <cellStyle name="Normal 12 3 2 5 2 2 2" xfId="4510" xr:uid="{00000000-0005-0000-0000-0000B8000000}"/>
    <cellStyle name="Normal 12 3 2 5 2 3" xfId="2665" xr:uid="{00000000-0005-0000-0000-0000B9000000}"/>
    <cellStyle name="Normal 12 3 2 5 2 3 2" xfId="5402" xr:uid="{00000000-0005-0000-0000-0000BA000000}"/>
    <cellStyle name="Normal 12 3 2 5 2 4" xfId="3563" xr:uid="{00000000-0005-0000-0000-0000BB000000}"/>
    <cellStyle name="Normal 12 3 2 5 3" xfId="1326" xr:uid="{00000000-0005-0000-0000-0000BC000000}"/>
    <cellStyle name="Normal 12 3 2 5 3 2" xfId="4063" xr:uid="{00000000-0005-0000-0000-0000BD000000}"/>
    <cellStyle name="Normal 12 3 2 5 4" xfId="2218" xr:uid="{00000000-0005-0000-0000-0000BE000000}"/>
    <cellStyle name="Normal 12 3 2 5 4 2" xfId="4955" xr:uid="{00000000-0005-0000-0000-0000BF000000}"/>
    <cellStyle name="Normal 12 3 2 5 5" xfId="3116" xr:uid="{00000000-0005-0000-0000-0000C0000000}"/>
    <cellStyle name="Normal 12 3 2 6" xfId="580" xr:uid="{00000000-0005-0000-0000-0000C1000000}"/>
    <cellStyle name="Normal 12 3 2 6 2" xfId="1530" xr:uid="{00000000-0005-0000-0000-0000C2000000}"/>
    <cellStyle name="Normal 12 3 2 6 2 2" xfId="4267" xr:uid="{00000000-0005-0000-0000-0000C3000000}"/>
    <cellStyle name="Normal 12 3 2 6 3" xfId="2422" xr:uid="{00000000-0005-0000-0000-0000C4000000}"/>
    <cellStyle name="Normal 12 3 2 6 3 2" xfId="5159" xr:uid="{00000000-0005-0000-0000-0000C5000000}"/>
    <cellStyle name="Normal 12 3 2 6 4" xfId="3320" xr:uid="{00000000-0005-0000-0000-0000C6000000}"/>
    <cellStyle name="Normal 12 3 2 7" xfId="1028" xr:uid="{00000000-0005-0000-0000-0000C7000000}"/>
    <cellStyle name="Normal 12 3 2 7 2" xfId="3767" xr:uid="{00000000-0005-0000-0000-0000C8000000}"/>
    <cellStyle name="Normal 12 3 2 8" xfId="1077" xr:uid="{00000000-0005-0000-0000-0000C9000000}"/>
    <cellStyle name="Normal 12 3 2 8 2" xfId="3814" xr:uid="{00000000-0005-0000-0000-0000CA000000}"/>
    <cellStyle name="Normal 12 3 2 9" xfId="1969" xr:uid="{00000000-0005-0000-0000-0000CB000000}"/>
    <cellStyle name="Normal 12 3 2 9 2" xfId="4706" xr:uid="{00000000-0005-0000-0000-0000CC000000}"/>
    <cellStyle name="Normal 12 3 3" xfId="144" xr:uid="{00000000-0005-0000-0000-0000CD000000}"/>
    <cellStyle name="Normal 12 3 3 2" xfId="257" xr:uid="{00000000-0005-0000-0000-0000CE000000}"/>
    <cellStyle name="Normal 12 3 3 2 2" xfId="511" xr:uid="{00000000-0005-0000-0000-0000CF000000}"/>
    <cellStyle name="Normal 12 3 3 2 2 2" xfId="959" xr:uid="{00000000-0005-0000-0000-0000D0000000}"/>
    <cellStyle name="Normal 12 3 3 2 2 2 2" xfId="1909" xr:uid="{00000000-0005-0000-0000-0000D1000000}"/>
    <cellStyle name="Normal 12 3 3 2 2 2 2 2" xfId="4646" xr:uid="{00000000-0005-0000-0000-0000D2000000}"/>
    <cellStyle name="Normal 12 3 3 2 2 2 3" xfId="2801" xr:uid="{00000000-0005-0000-0000-0000D3000000}"/>
    <cellStyle name="Normal 12 3 3 2 2 2 3 2" xfId="5538" xr:uid="{00000000-0005-0000-0000-0000D4000000}"/>
    <cellStyle name="Normal 12 3 3 2 2 2 4" xfId="3699" xr:uid="{00000000-0005-0000-0000-0000D5000000}"/>
    <cellStyle name="Normal 12 3 3 2 2 3" xfId="1462" xr:uid="{00000000-0005-0000-0000-0000D6000000}"/>
    <cellStyle name="Normal 12 3 3 2 2 3 2" xfId="4199" xr:uid="{00000000-0005-0000-0000-0000D7000000}"/>
    <cellStyle name="Normal 12 3 3 2 2 4" xfId="2354" xr:uid="{00000000-0005-0000-0000-0000D8000000}"/>
    <cellStyle name="Normal 12 3 3 2 2 4 2" xfId="5091" xr:uid="{00000000-0005-0000-0000-0000D9000000}"/>
    <cellStyle name="Normal 12 3 3 2 2 5" xfId="3252" xr:uid="{00000000-0005-0000-0000-0000DA000000}"/>
    <cellStyle name="Normal 12 3 3 2 3" xfId="710" xr:uid="{00000000-0005-0000-0000-0000DB000000}"/>
    <cellStyle name="Normal 12 3 3 2 3 2" xfId="1660" xr:uid="{00000000-0005-0000-0000-0000DC000000}"/>
    <cellStyle name="Normal 12 3 3 2 3 2 2" xfId="4397" xr:uid="{00000000-0005-0000-0000-0000DD000000}"/>
    <cellStyle name="Normal 12 3 3 2 3 3" xfId="2552" xr:uid="{00000000-0005-0000-0000-0000DE000000}"/>
    <cellStyle name="Normal 12 3 3 2 3 3 2" xfId="5289" xr:uid="{00000000-0005-0000-0000-0000DF000000}"/>
    <cellStyle name="Normal 12 3 3 2 3 4" xfId="3450" xr:uid="{00000000-0005-0000-0000-0000E0000000}"/>
    <cellStyle name="Normal 12 3 3 2 4" xfId="1213" xr:uid="{00000000-0005-0000-0000-0000E1000000}"/>
    <cellStyle name="Normal 12 3 3 2 4 2" xfId="3950" xr:uid="{00000000-0005-0000-0000-0000E2000000}"/>
    <cellStyle name="Normal 12 3 3 2 5" xfId="2105" xr:uid="{00000000-0005-0000-0000-0000E3000000}"/>
    <cellStyle name="Normal 12 3 3 2 5 2" xfId="4842" xr:uid="{00000000-0005-0000-0000-0000E4000000}"/>
    <cellStyle name="Normal 12 3 3 2 6" xfId="3003" xr:uid="{00000000-0005-0000-0000-0000E5000000}"/>
    <cellStyle name="Normal 12 3 3 3" xfId="400" xr:uid="{00000000-0005-0000-0000-0000E6000000}"/>
    <cellStyle name="Normal 12 3 3 3 2" xfId="848" xr:uid="{00000000-0005-0000-0000-0000E7000000}"/>
    <cellStyle name="Normal 12 3 3 3 2 2" xfId="1798" xr:uid="{00000000-0005-0000-0000-0000E8000000}"/>
    <cellStyle name="Normal 12 3 3 3 2 2 2" xfId="4535" xr:uid="{00000000-0005-0000-0000-0000E9000000}"/>
    <cellStyle name="Normal 12 3 3 3 2 3" xfId="2690" xr:uid="{00000000-0005-0000-0000-0000EA000000}"/>
    <cellStyle name="Normal 12 3 3 3 2 3 2" xfId="5427" xr:uid="{00000000-0005-0000-0000-0000EB000000}"/>
    <cellStyle name="Normal 12 3 3 3 2 4" xfId="3588" xr:uid="{00000000-0005-0000-0000-0000EC000000}"/>
    <cellStyle name="Normal 12 3 3 3 3" xfId="1351" xr:uid="{00000000-0005-0000-0000-0000ED000000}"/>
    <cellStyle name="Normal 12 3 3 3 3 2" xfId="4088" xr:uid="{00000000-0005-0000-0000-0000EE000000}"/>
    <cellStyle name="Normal 12 3 3 3 4" xfId="2243" xr:uid="{00000000-0005-0000-0000-0000EF000000}"/>
    <cellStyle name="Normal 12 3 3 3 4 2" xfId="4980" xr:uid="{00000000-0005-0000-0000-0000F0000000}"/>
    <cellStyle name="Normal 12 3 3 3 5" xfId="3141" xr:uid="{00000000-0005-0000-0000-0000F1000000}"/>
    <cellStyle name="Normal 12 3 3 4" xfId="609" xr:uid="{00000000-0005-0000-0000-0000F2000000}"/>
    <cellStyle name="Normal 12 3 3 4 2" xfId="1559" xr:uid="{00000000-0005-0000-0000-0000F3000000}"/>
    <cellStyle name="Normal 12 3 3 4 2 2" xfId="4296" xr:uid="{00000000-0005-0000-0000-0000F4000000}"/>
    <cellStyle name="Normal 12 3 3 4 3" xfId="2451" xr:uid="{00000000-0005-0000-0000-0000F5000000}"/>
    <cellStyle name="Normal 12 3 3 4 3 2" xfId="5188" xr:uid="{00000000-0005-0000-0000-0000F6000000}"/>
    <cellStyle name="Normal 12 3 3 4 4" xfId="3349" xr:uid="{00000000-0005-0000-0000-0000F7000000}"/>
    <cellStyle name="Normal 12 3 3 5" xfId="1102" xr:uid="{00000000-0005-0000-0000-0000F8000000}"/>
    <cellStyle name="Normal 12 3 3 5 2" xfId="3839" xr:uid="{00000000-0005-0000-0000-0000F9000000}"/>
    <cellStyle name="Normal 12 3 3 6" xfId="1994" xr:uid="{00000000-0005-0000-0000-0000FA000000}"/>
    <cellStyle name="Normal 12 3 3 6 2" xfId="4731" xr:uid="{00000000-0005-0000-0000-0000FB000000}"/>
    <cellStyle name="Normal 12 3 3 7" xfId="2892" xr:uid="{00000000-0005-0000-0000-0000FC000000}"/>
    <cellStyle name="Normal 12 3 4" xfId="186" xr:uid="{00000000-0005-0000-0000-0000FD000000}"/>
    <cellStyle name="Normal 12 3 4 2" xfId="441" xr:uid="{00000000-0005-0000-0000-0000FE000000}"/>
    <cellStyle name="Normal 12 3 4 2 2" xfId="889" xr:uid="{00000000-0005-0000-0000-0000FF000000}"/>
    <cellStyle name="Normal 12 3 4 2 2 2" xfId="1839" xr:uid="{00000000-0005-0000-0000-000000010000}"/>
    <cellStyle name="Normal 12 3 4 2 2 2 2" xfId="4576" xr:uid="{00000000-0005-0000-0000-000001010000}"/>
    <cellStyle name="Normal 12 3 4 2 2 3" xfId="2731" xr:uid="{00000000-0005-0000-0000-000002010000}"/>
    <cellStyle name="Normal 12 3 4 2 2 3 2" xfId="5468" xr:uid="{00000000-0005-0000-0000-000003010000}"/>
    <cellStyle name="Normal 12 3 4 2 2 4" xfId="3629" xr:uid="{00000000-0005-0000-0000-000004010000}"/>
    <cellStyle name="Normal 12 3 4 2 3" xfId="1392" xr:uid="{00000000-0005-0000-0000-000005010000}"/>
    <cellStyle name="Normal 12 3 4 2 3 2" xfId="4129" xr:uid="{00000000-0005-0000-0000-000006010000}"/>
    <cellStyle name="Normal 12 3 4 2 4" xfId="2284" xr:uid="{00000000-0005-0000-0000-000007010000}"/>
    <cellStyle name="Normal 12 3 4 2 4 2" xfId="5021" xr:uid="{00000000-0005-0000-0000-000008010000}"/>
    <cellStyle name="Normal 12 3 4 2 5" xfId="3182" xr:uid="{00000000-0005-0000-0000-000009010000}"/>
    <cellStyle name="Normal 12 3 4 3" xfId="644" xr:uid="{00000000-0005-0000-0000-00000A010000}"/>
    <cellStyle name="Normal 12 3 4 3 2" xfId="1594" xr:uid="{00000000-0005-0000-0000-00000B010000}"/>
    <cellStyle name="Normal 12 3 4 3 2 2" xfId="4331" xr:uid="{00000000-0005-0000-0000-00000C010000}"/>
    <cellStyle name="Normal 12 3 4 3 3" xfId="2486" xr:uid="{00000000-0005-0000-0000-00000D010000}"/>
    <cellStyle name="Normal 12 3 4 3 3 2" xfId="5223" xr:uid="{00000000-0005-0000-0000-00000E010000}"/>
    <cellStyle name="Normal 12 3 4 3 4" xfId="3384" xr:uid="{00000000-0005-0000-0000-00000F010000}"/>
    <cellStyle name="Normal 12 3 4 4" xfId="1143" xr:uid="{00000000-0005-0000-0000-000010010000}"/>
    <cellStyle name="Normal 12 3 4 4 2" xfId="3880" xr:uid="{00000000-0005-0000-0000-000011010000}"/>
    <cellStyle name="Normal 12 3 4 5" xfId="2035" xr:uid="{00000000-0005-0000-0000-000012010000}"/>
    <cellStyle name="Normal 12 3 4 5 2" xfId="4772" xr:uid="{00000000-0005-0000-0000-000013010000}"/>
    <cellStyle name="Normal 12 3 4 6" xfId="2933" xr:uid="{00000000-0005-0000-0000-000014010000}"/>
    <cellStyle name="Normal 12 3 5" xfId="216" xr:uid="{00000000-0005-0000-0000-000015010000}"/>
    <cellStyle name="Normal 12 3 5 2" xfId="470" xr:uid="{00000000-0005-0000-0000-000016010000}"/>
    <cellStyle name="Normal 12 3 5 2 2" xfId="918" xr:uid="{00000000-0005-0000-0000-000017010000}"/>
    <cellStyle name="Normal 12 3 5 2 2 2" xfId="1868" xr:uid="{00000000-0005-0000-0000-000018010000}"/>
    <cellStyle name="Normal 12 3 5 2 2 2 2" xfId="4605" xr:uid="{00000000-0005-0000-0000-000019010000}"/>
    <cellStyle name="Normal 12 3 5 2 2 3" xfId="2760" xr:uid="{00000000-0005-0000-0000-00001A010000}"/>
    <cellStyle name="Normal 12 3 5 2 2 3 2" xfId="5497" xr:uid="{00000000-0005-0000-0000-00001B010000}"/>
    <cellStyle name="Normal 12 3 5 2 2 4" xfId="3658" xr:uid="{00000000-0005-0000-0000-00001C010000}"/>
    <cellStyle name="Normal 12 3 5 2 3" xfId="1421" xr:uid="{00000000-0005-0000-0000-00001D010000}"/>
    <cellStyle name="Normal 12 3 5 2 3 2" xfId="4158" xr:uid="{00000000-0005-0000-0000-00001E010000}"/>
    <cellStyle name="Normal 12 3 5 2 4" xfId="2313" xr:uid="{00000000-0005-0000-0000-00001F010000}"/>
    <cellStyle name="Normal 12 3 5 2 4 2" xfId="5050" xr:uid="{00000000-0005-0000-0000-000020010000}"/>
    <cellStyle name="Normal 12 3 5 2 5" xfId="3211" xr:uid="{00000000-0005-0000-0000-000021010000}"/>
    <cellStyle name="Normal 12 3 5 3" xfId="669" xr:uid="{00000000-0005-0000-0000-000022010000}"/>
    <cellStyle name="Normal 12 3 5 3 2" xfId="1619" xr:uid="{00000000-0005-0000-0000-000023010000}"/>
    <cellStyle name="Normal 12 3 5 3 2 2" xfId="4356" xr:uid="{00000000-0005-0000-0000-000024010000}"/>
    <cellStyle name="Normal 12 3 5 3 3" xfId="2511" xr:uid="{00000000-0005-0000-0000-000025010000}"/>
    <cellStyle name="Normal 12 3 5 3 3 2" xfId="5248" xr:uid="{00000000-0005-0000-0000-000026010000}"/>
    <cellStyle name="Normal 12 3 5 3 4" xfId="3409" xr:uid="{00000000-0005-0000-0000-000027010000}"/>
    <cellStyle name="Normal 12 3 5 4" xfId="1172" xr:uid="{00000000-0005-0000-0000-000028010000}"/>
    <cellStyle name="Normal 12 3 5 4 2" xfId="3909" xr:uid="{00000000-0005-0000-0000-000029010000}"/>
    <cellStyle name="Normal 12 3 5 5" xfId="2064" xr:uid="{00000000-0005-0000-0000-00002A010000}"/>
    <cellStyle name="Normal 12 3 5 5 2" xfId="4801" xr:uid="{00000000-0005-0000-0000-00002B010000}"/>
    <cellStyle name="Normal 12 3 5 6" xfId="2962" xr:uid="{00000000-0005-0000-0000-00002C010000}"/>
    <cellStyle name="Normal 12 3 6" xfId="298" xr:uid="{00000000-0005-0000-0000-00002D010000}"/>
    <cellStyle name="Normal 12 3 6 2" xfId="751" xr:uid="{00000000-0005-0000-0000-00002E010000}"/>
    <cellStyle name="Normal 12 3 6 2 2" xfId="1701" xr:uid="{00000000-0005-0000-0000-00002F010000}"/>
    <cellStyle name="Normal 12 3 6 2 2 2" xfId="4438" xr:uid="{00000000-0005-0000-0000-000030010000}"/>
    <cellStyle name="Normal 12 3 6 2 3" xfId="2593" xr:uid="{00000000-0005-0000-0000-000031010000}"/>
    <cellStyle name="Normal 12 3 6 2 3 2" xfId="5330" xr:uid="{00000000-0005-0000-0000-000032010000}"/>
    <cellStyle name="Normal 12 3 6 2 4" xfId="3491" xr:uid="{00000000-0005-0000-0000-000033010000}"/>
    <cellStyle name="Normal 12 3 6 3" xfId="1254" xr:uid="{00000000-0005-0000-0000-000034010000}"/>
    <cellStyle name="Normal 12 3 6 3 2" xfId="3991" xr:uid="{00000000-0005-0000-0000-000035010000}"/>
    <cellStyle name="Normal 12 3 6 4" xfId="2146" xr:uid="{00000000-0005-0000-0000-000036010000}"/>
    <cellStyle name="Normal 12 3 6 4 2" xfId="4883" xr:uid="{00000000-0005-0000-0000-000037010000}"/>
    <cellStyle name="Normal 12 3 6 5" xfId="3044" xr:uid="{00000000-0005-0000-0000-000038010000}"/>
    <cellStyle name="Normal 12 3 7" xfId="359" xr:uid="{00000000-0005-0000-0000-000039010000}"/>
    <cellStyle name="Normal 12 3 7 2" xfId="807" xr:uid="{00000000-0005-0000-0000-00003A010000}"/>
    <cellStyle name="Normal 12 3 7 2 2" xfId="1757" xr:uid="{00000000-0005-0000-0000-00003B010000}"/>
    <cellStyle name="Normal 12 3 7 2 2 2" xfId="4494" xr:uid="{00000000-0005-0000-0000-00003C010000}"/>
    <cellStyle name="Normal 12 3 7 2 3" xfId="2649" xr:uid="{00000000-0005-0000-0000-00003D010000}"/>
    <cellStyle name="Normal 12 3 7 2 3 2" xfId="5386" xr:uid="{00000000-0005-0000-0000-00003E010000}"/>
    <cellStyle name="Normal 12 3 7 2 4" xfId="3547" xr:uid="{00000000-0005-0000-0000-00003F010000}"/>
    <cellStyle name="Normal 12 3 7 3" xfId="1310" xr:uid="{00000000-0005-0000-0000-000040010000}"/>
    <cellStyle name="Normal 12 3 7 3 2" xfId="4047" xr:uid="{00000000-0005-0000-0000-000041010000}"/>
    <cellStyle name="Normal 12 3 7 4" xfId="2202" xr:uid="{00000000-0005-0000-0000-000042010000}"/>
    <cellStyle name="Normal 12 3 7 4 2" xfId="4939" xr:uid="{00000000-0005-0000-0000-000043010000}"/>
    <cellStyle name="Normal 12 3 7 5" xfId="3100" xr:uid="{00000000-0005-0000-0000-000044010000}"/>
    <cellStyle name="Normal 12 3 8" xfId="552" xr:uid="{00000000-0005-0000-0000-000045010000}"/>
    <cellStyle name="Normal 12 3 8 2" xfId="1503" xr:uid="{00000000-0005-0000-0000-000046010000}"/>
    <cellStyle name="Normal 12 3 8 2 2" xfId="4240" xr:uid="{00000000-0005-0000-0000-000047010000}"/>
    <cellStyle name="Normal 12 3 8 3" xfId="2395" xr:uid="{00000000-0005-0000-0000-000048010000}"/>
    <cellStyle name="Normal 12 3 8 3 2" xfId="5132" xr:uid="{00000000-0005-0000-0000-000049010000}"/>
    <cellStyle name="Normal 12 3 8 4" xfId="3293" xr:uid="{00000000-0005-0000-0000-00004A010000}"/>
    <cellStyle name="Normal 12 3 9" xfId="1000" xr:uid="{00000000-0005-0000-0000-00004B010000}"/>
    <cellStyle name="Normal 12 3 9 2" xfId="3740" xr:uid="{00000000-0005-0000-0000-00004C010000}"/>
    <cellStyle name="Normal 12 4" xfId="98" xr:uid="{00000000-0005-0000-0000-00004D010000}"/>
    <cellStyle name="Normal 12 4 10" xfId="1064" xr:uid="{00000000-0005-0000-0000-00004E010000}"/>
    <cellStyle name="Normal 12 4 10 2" xfId="3801" xr:uid="{00000000-0005-0000-0000-00004F010000}"/>
    <cellStyle name="Normal 12 4 11" xfId="1956" xr:uid="{00000000-0005-0000-0000-000050010000}"/>
    <cellStyle name="Normal 12 4 11 2" xfId="4693" xr:uid="{00000000-0005-0000-0000-000051010000}"/>
    <cellStyle name="Normal 12 4 12" xfId="2854" xr:uid="{00000000-0005-0000-0000-000052010000}"/>
    <cellStyle name="Normal 12 4 2" xfId="113" xr:uid="{00000000-0005-0000-0000-000053010000}"/>
    <cellStyle name="Normal 12 4 2 10" xfId="2868" xr:uid="{00000000-0005-0000-0000-000054010000}"/>
    <cellStyle name="Normal 12 4 2 2" xfId="161" xr:uid="{00000000-0005-0000-0000-000055010000}"/>
    <cellStyle name="Normal 12 4 2 2 2" xfId="274" xr:uid="{00000000-0005-0000-0000-000056010000}"/>
    <cellStyle name="Normal 12 4 2 2 2 2" xfId="528" xr:uid="{00000000-0005-0000-0000-000057010000}"/>
    <cellStyle name="Normal 12 4 2 2 2 2 2" xfId="976" xr:uid="{00000000-0005-0000-0000-000058010000}"/>
    <cellStyle name="Normal 12 4 2 2 2 2 2 2" xfId="1926" xr:uid="{00000000-0005-0000-0000-000059010000}"/>
    <cellStyle name="Normal 12 4 2 2 2 2 2 2 2" xfId="4663" xr:uid="{00000000-0005-0000-0000-00005A010000}"/>
    <cellStyle name="Normal 12 4 2 2 2 2 2 3" xfId="2818" xr:uid="{00000000-0005-0000-0000-00005B010000}"/>
    <cellStyle name="Normal 12 4 2 2 2 2 2 3 2" xfId="5555" xr:uid="{00000000-0005-0000-0000-00005C010000}"/>
    <cellStyle name="Normal 12 4 2 2 2 2 2 4" xfId="3716" xr:uid="{00000000-0005-0000-0000-00005D010000}"/>
    <cellStyle name="Normal 12 4 2 2 2 2 3" xfId="1479" xr:uid="{00000000-0005-0000-0000-00005E010000}"/>
    <cellStyle name="Normal 12 4 2 2 2 2 3 2" xfId="4216" xr:uid="{00000000-0005-0000-0000-00005F010000}"/>
    <cellStyle name="Normal 12 4 2 2 2 2 4" xfId="2371" xr:uid="{00000000-0005-0000-0000-000060010000}"/>
    <cellStyle name="Normal 12 4 2 2 2 2 4 2" xfId="5108" xr:uid="{00000000-0005-0000-0000-000061010000}"/>
    <cellStyle name="Normal 12 4 2 2 2 2 5" xfId="3269" xr:uid="{00000000-0005-0000-0000-000062010000}"/>
    <cellStyle name="Normal 12 4 2 2 2 3" xfId="727" xr:uid="{00000000-0005-0000-0000-000063010000}"/>
    <cellStyle name="Normal 12 4 2 2 2 3 2" xfId="1677" xr:uid="{00000000-0005-0000-0000-000064010000}"/>
    <cellStyle name="Normal 12 4 2 2 2 3 2 2" xfId="4414" xr:uid="{00000000-0005-0000-0000-000065010000}"/>
    <cellStyle name="Normal 12 4 2 2 2 3 3" xfId="2569" xr:uid="{00000000-0005-0000-0000-000066010000}"/>
    <cellStyle name="Normal 12 4 2 2 2 3 3 2" xfId="5306" xr:uid="{00000000-0005-0000-0000-000067010000}"/>
    <cellStyle name="Normal 12 4 2 2 2 3 4" xfId="3467" xr:uid="{00000000-0005-0000-0000-000068010000}"/>
    <cellStyle name="Normal 12 4 2 2 2 4" xfId="1230" xr:uid="{00000000-0005-0000-0000-000069010000}"/>
    <cellStyle name="Normal 12 4 2 2 2 4 2" xfId="3967" xr:uid="{00000000-0005-0000-0000-00006A010000}"/>
    <cellStyle name="Normal 12 4 2 2 2 5" xfId="2122" xr:uid="{00000000-0005-0000-0000-00006B010000}"/>
    <cellStyle name="Normal 12 4 2 2 2 5 2" xfId="4859" xr:uid="{00000000-0005-0000-0000-00006C010000}"/>
    <cellStyle name="Normal 12 4 2 2 2 6" xfId="3020" xr:uid="{00000000-0005-0000-0000-00006D010000}"/>
    <cellStyle name="Normal 12 4 2 2 3" xfId="417" xr:uid="{00000000-0005-0000-0000-00006E010000}"/>
    <cellStyle name="Normal 12 4 2 2 3 2" xfId="865" xr:uid="{00000000-0005-0000-0000-00006F010000}"/>
    <cellStyle name="Normal 12 4 2 2 3 2 2" xfId="1815" xr:uid="{00000000-0005-0000-0000-000070010000}"/>
    <cellStyle name="Normal 12 4 2 2 3 2 2 2" xfId="4552" xr:uid="{00000000-0005-0000-0000-000071010000}"/>
    <cellStyle name="Normal 12 4 2 2 3 2 3" xfId="2707" xr:uid="{00000000-0005-0000-0000-000072010000}"/>
    <cellStyle name="Normal 12 4 2 2 3 2 3 2" xfId="5444" xr:uid="{00000000-0005-0000-0000-000073010000}"/>
    <cellStyle name="Normal 12 4 2 2 3 2 4" xfId="3605" xr:uid="{00000000-0005-0000-0000-000074010000}"/>
    <cellStyle name="Normal 12 4 2 2 3 3" xfId="1368" xr:uid="{00000000-0005-0000-0000-000075010000}"/>
    <cellStyle name="Normal 12 4 2 2 3 3 2" xfId="4105" xr:uid="{00000000-0005-0000-0000-000076010000}"/>
    <cellStyle name="Normal 12 4 2 2 3 4" xfId="2260" xr:uid="{00000000-0005-0000-0000-000077010000}"/>
    <cellStyle name="Normal 12 4 2 2 3 4 2" xfId="4997" xr:uid="{00000000-0005-0000-0000-000078010000}"/>
    <cellStyle name="Normal 12 4 2 2 3 5" xfId="3158" xr:uid="{00000000-0005-0000-0000-000079010000}"/>
    <cellStyle name="Normal 12 4 2 2 4" xfId="626" xr:uid="{00000000-0005-0000-0000-00007A010000}"/>
    <cellStyle name="Normal 12 4 2 2 4 2" xfId="1576" xr:uid="{00000000-0005-0000-0000-00007B010000}"/>
    <cellStyle name="Normal 12 4 2 2 4 2 2" xfId="4313" xr:uid="{00000000-0005-0000-0000-00007C010000}"/>
    <cellStyle name="Normal 12 4 2 2 4 3" xfId="2468" xr:uid="{00000000-0005-0000-0000-00007D010000}"/>
    <cellStyle name="Normal 12 4 2 2 4 3 2" xfId="5205" xr:uid="{00000000-0005-0000-0000-00007E010000}"/>
    <cellStyle name="Normal 12 4 2 2 4 4" xfId="3366" xr:uid="{00000000-0005-0000-0000-00007F010000}"/>
    <cellStyle name="Normal 12 4 2 2 5" xfId="1119" xr:uid="{00000000-0005-0000-0000-000080010000}"/>
    <cellStyle name="Normal 12 4 2 2 5 2" xfId="3856" xr:uid="{00000000-0005-0000-0000-000081010000}"/>
    <cellStyle name="Normal 12 4 2 2 6" xfId="2011" xr:uid="{00000000-0005-0000-0000-000082010000}"/>
    <cellStyle name="Normal 12 4 2 2 6 2" xfId="4748" xr:uid="{00000000-0005-0000-0000-000083010000}"/>
    <cellStyle name="Normal 12 4 2 2 7" xfId="2909" xr:uid="{00000000-0005-0000-0000-000084010000}"/>
    <cellStyle name="Normal 12 4 2 3" xfId="233" xr:uid="{00000000-0005-0000-0000-000085010000}"/>
    <cellStyle name="Normal 12 4 2 3 2" xfId="487" xr:uid="{00000000-0005-0000-0000-000086010000}"/>
    <cellStyle name="Normal 12 4 2 3 2 2" xfId="935" xr:uid="{00000000-0005-0000-0000-000087010000}"/>
    <cellStyle name="Normal 12 4 2 3 2 2 2" xfId="1885" xr:uid="{00000000-0005-0000-0000-000088010000}"/>
    <cellStyle name="Normal 12 4 2 3 2 2 2 2" xfId="4622" xr:uid="{00000000-0005-0000-0000-000089010000}"/>
    <cellStyle name="Normal 12 4 2 3 2 2 3" xfId="2777" xr:uid="{00000000-0005-0000-0000-00008A010000}"/>
    <cellStyle name="Normal 12 4 2 3 2 2 3 2" xfId="5514" xr:uid="{00000000-0005-0000-0000-00008B010000}"/>
    <cellStyle name="Normal 12 4 2 3 2 2 4" xfId="3675" xr:uid="{00000000-0005-0000-0000-00008C010000}"/>
    <cellStyle name="Normal 12 4 2 3 2 3" xfId="1438" xr:uid="{00000000-0005-0000-0000-00008D010000}"/>
    <cellStyle name="Normal 12 4 2 3 2 3 2" xfId="4175" xr:uid="{00000000-0005-0000-0000-00008E010000}"/>
    <cellStyle name="Normal 12 4 2 3 2 4" xfId="2330" xr:uid="{00000000-0005-0000-0000-00008F010000}"/>
    <cellStyle name="Normal 12 4 2 3 2 4 2" xfId="5067" xr:uid="{00000000-0005-0000-0000-000090010000}"/>
    <cellStyle name="Normal 12 4 2 3 2 5" xfId="3228" xr:uid="{00000000-0005-0000-0000-000091010000}"/>
    <cellStyle name="Normal 12 4 2 3 3" xfId="686" xr:uid="{00000000-0005-0000-0000-000092010000}"/>
    <cellStyle name="Normal 12 4 2 3 3 2" xfId="1636" xr:uid="{00000000-0005-0000-0000-000093010000}"/>
    <cellStyle name="Normal 12 4 2 3 3 2 2" xfId="4373" xr:uid="{00000000-0005-0000-0000-000094010000}"/>
    <cellStyle name="Normal 12 4 2 3 3 3" xfId="2528" xr:uid="{00000000-0005-0000-0000-000095010000}"/>
    <cellStyle name="Normal 12 4 2 3 3 3 2" xfId="5265" xr:uid="{00000000-0005-0000-0000-000096010000}"/>
    <cellStyle name="Normal 12 4 2 3 3 4" xfId="3426" xr:uid="{00000000-0005-0000-0000-000097010000}"/>
    <cellStyle name="Normal 12 4 2 3 4" xfId="1189" xr:uid="{00000000-0005-0000-0000-000098010000}"/>
    <cellStyle name="Normal 12 4 2 3 4 2" xfId="3926" xr:uid="{00000000-0005-0000-0000-000099010000}"/>
    <cellStyle name="Normal 12 4 2 3 5" xfId="2081" xr:uid="{00000000-0005-0000-0000-00009A010000}"/>
    <cellStyle name="Normal 12 4 2 3 5 2" xfId="4818" xr:uid="{00000000-0005-0000-0000-00009B010000}"/>
    <cellStyle name="Normal 12 4 2 3 6" xfId="2979" xr:uid="{00000000-0005-0000-0000-00009C010000}"/>
    <cellStyle name="Normal 12 4 2 4" xfId="326" xr:uid="{00000000-0005-0000-0000-00009D010000}"/>
    <cellStyle name="Normal 12 4 2 4 2" xfId="779" xr:uid="{00000000-0005-0000-0000-00009E010000}"/>
    <cellStyle name="Normal 12 4 2 4 2 2" xfId="1729" xr:uid="{00000000-0005-0000-0000-00009F010000}"/>
    <cellStyle name="Normal 12 4 2 4 2 2 2" xfId="4466" xr:uid="{00000000-0005-0000-0000-0000A0010000}"/>
    <cellStyle name="Normal 12 4 2 4 2 3" xfId="2621" xr:uid="{00000000-0005-0000-0000-0000A1010000}"/>
    <cellStyle name="Normal 12 4 2 4 2 3 2" xfId="5358" xr:uid="{00000000-0005-0000-0000-0000A2010000}"/>
    <cellStyle name="Normal 12 4 2 4 2 4" xfId="3519" xr:uid="{00000000-0005-0000-0000-0000A3010000}"/>
    <cellStyle name="Normal 12 4 2 4 3" xfId="1282" xr:uid="{00000000-0005-0000-0000-0000A4010000}"/>
    <cellStyle name="Normal 12 4 2 4 3 2" xfId="4019" xr:uid="{00000000-0005-0000-0000-0000A5010000}"/>
    <cellStyle name="Normal 12 4 2 4 4" xfId="2174" xr:uid="{00000000-0005-0000-0000-0000A6010000}"/>
    <cellStyle name="Normal 12 4 2 4 4 2" xfId="4911" xr:uid="{00000000-0005-0000-0000-0000A7010000}"/>
    <cellStyle name="Normal 12 4 2 4 5" xfId="3072" xr:uid="{00000000-0005-0000-0000-0000A8010000}"/>
    <cellStyle name="Normal 12 4 2 5" xfId="376" xr:uid="{00000000-0005-0000-0000-0000A9010000}"/>
    <cellStyle name="Normal 12 4 2 5 2" xfId="824" xr:uid="{00000000-0005-0000-0000-0000AA010000}"/>
    <cellStyle name="Normal 12 4 2 5 2 2" xfId="1774" xr:uid="{00000000-0005-0000-0000-0000AB010000}"/>
    <cellStyle name="Normal 12 4 2 5 2 2 2" xfId="4511" xr:uid="{00000000-0005-0000-0000-0000AC010000}"/>
    <cellStyle name="Normal 12 4 2 5 2 3" xfId="2666" xr:uid="{00000000-0005-0000-0000-0000AD010000}"/>
    <cellStyle name="Normal 12 4 2 5 2 3 2" xfId="5403" xr:uid="{00000000-0005-0000-0000-0000AE010000}"/>
    <cellStyle name="Normal 12 4 2 5 2 4" xfId="3564" xr:uid="{00000000-0005-0000-0000-0000AF010000}"/>
    <cellStyle name="Normal 12 4 2 5 3" xfId="1327" xr:uid="{00000000-0005-0000-0000-0000B0010000}"/>
    <cellStyle name="Normal 12 4 2 5 3 2" xfId="4064" xr:uid="{00000000-0005-0000-0000-0000B1010000}"/>
    <cellStyle name="Normal 12 4 2 5 4" xfId="2219" xr:uid="{00000000-0005-0000-0000-0000B2010000}"/>
    <cellStyle name="Normal 12 4 2 5 4 2" xfId="4956" xr:uid="{00000000-0005-0000-0000-0000B3010000}"/>
    <cellStyle name="Normal 12 4 2 5 5" xfId="3117" xr:uid="{00000000-0005-0000-0000-0000B4010000}"/>
    <cellStyle name="Normal 12 4 2 6" xfId="581" xr:uid="{00000000-0005-0000-0000-0000B5010000}"/>
    <cellStyle name="Normal 12 4 2 6 2" xfId="1531" xr:uid="{00000000-0005-0000-0000-0000B6010000}"/>
    <cellStyle name="Normal 12 4 2 6 2 2" xfId="4268" xr:uid="{00000000-0005-0000-0000-0000B7010000}"/>
    <cellStyle name="Normal 12 4 2 6 3" xfId="2423" xr:uid="{00000000-0005-0000-0000-0000B8010000}"/>
    <cellStyle name="Normal 12 4 2 6 3 2" xfId="5160" xr:uid="{00000000-0005-0000-0000-0000B9010000}"/>
    <cellStyle name="Normal 12 4 2 6 4" xfId="3321" xr:uid="{00000000-0005-0000-0000-0000BA010000}"/>
    <cellStyle name="Normal 12 4 2 7" xfId="1029" xr:uid="{00000000-0005-0000-0000-0000BB010000}"/>
    <cellStyle name="Normal 12 4 2 7 2" xfId="3768" xr:uid="{00000000-0005-0000-0000-0000BC010000}"/>
    <cellStyle name="Normal 12 4 2 8" xfId="1078" xr:uid="{00000000-0005-0000-0000-0000BD010000}"/>
    <cellStyle name="Normal 12 4 2 8 2" xfId="3815" xr:uid="{00000000-0005-0000-0000-0000BE010000}"/>
    <cellStyle name="Normal 12 4 2 9" xfId="1970" xr:uid="{00000000-0005-0000-0000-0000BF010000}"/>
    <cellStyle name="Normal 12 4 2 9 2" xfId="4707" xr:uid="{00000000-0005-0000-0000-0000C0010000}"/>
    <cellStyle name="Normal 12 4 3" xfId="147" xr:uid="{00000000-0005-0000-0000-0000C1010000}"/>
    <cellStyle name="Normal 12 4 3 2" xfId="260" xr:uid="{00000000-0005-0000-0000-0000C2010000}"/>
    <cellStyle name="Normal 12 4 3 2 2" xfId="514" xr:uid="{00000000-0005-0000-0000-0000C3010000}"/>
    <cellStyle name="Normal 12 4 3 2 2 2" xfId="962" xr:uid="{00000000-0005-0000-0000-0000C4010000}"/>
    <cellStyle name="Normal 12 4 3 2 2 2 2" xfId="1912" xr:uid="{00000000-0005-0000-0000-0000C5010000}"/>
    <cellStyle name="Normal 12 4 3 2 2 2 2 2" xfId="4649" xr:uid="{00000000-0005-0000-0000-0000C6010000}"/>
    <cellStyle name="Normal 12 4 3 2 2 2 3" xfId="2804" xr:uid="{00000000-0005-0000-0000-0000C7010000}"/>
    <cellStyle name="Normal 12 4 3 2 2 2 3 2" xfId="5541" xr:uid="{00000000-0005-0000-0000-0000C8010000}"/>
    <cellStyle name="Normal 12 4 3 2 2 2 4" xfId="3702" xr:uid="{00000000-0005-0000-0000-0000C9010000}"/>
    <cellStyle name="Normal 12 4 3 2 2 3" xfId="1465" xr:uid="{00000000-0005-0000-0000-0000CA010000}"/>
    <cellStyle name="Normal 12 4 3 2 2 3 2" xfId="4202" xr:uid="{00000000-0005-0000-0000-0000CB010000}"/>
    <cellStyle name="Normal 12 4 3 2 2 4" xfId="2357" xr:uid="{00000000-0005-0000-0000-0000CC010000}"/>
    <cellStyle name="Normal 12 4 3 2 2 4 2" xfId="5094" xr:uid="{00000000-0005-0000-0000-0000CD010000}"/>
    <cellStyle name="Normal 12 4 3 2 2 5" xfId="3255" xr:uid="{00000000-0005-0000-0000-0000CE010000}"/>
    <cellStyle name="Normal 12 4 3 2 3" xfId="713" xr:uid="{00000000-0005-0000-0000-0000CF010000}"/>
    <cellStyle name="Normal 12 4 3 2 3 2" xfId="1663" xr:uid="{00000000-0005-0000-0000-0000D0010000}"/>
    <cellStyle name="Normal 12 4 3 2 3 2 2" xfId="4400" xr:uid="{00000000-0005-0000-0000-0000D1010000}"/>
    <cellStyle name="Normal 12 4 3 2 3 3" xfId="2555" xr:uid="{00000000-0005-0000-0000-0000D2010000}"/>
    <cellStyle name="Normal 12 4 3 2 3 3 2" xfId="5292" xr:uid="{00000000-0005-0000-0000-0000D3010000}"/>
    <cellStyle name="Normal 12 4 3 2 3 4" xfId="3453" xr:uid="{00000000-0005-0000-0000-0000D4010000}"/>
    <cellStyle name="Normal 12 4 3 2 4" xfId="1216" xr:uid="{00000000-0005-0000-0000-0000D5010000}"/>
    <cellStyle name="Normal 12 4 3 2 4 2" xfId="3953" xr:uid="{00000000-0005-0000-0000-0000D6010000}"/>
    <cellStyle name="Normal 12 4 3 2 5" xfId="2108" xr:uid="{00000000-0005-0000-0000-0000D7010000}"/>
    <cellStyle name="Normal 12 4 3 2 5 2" xfId="4845" xr:uid="{00000000-0005-0000-0000-0000D8010000}"/>
    <cellStyle name="Normal 12 4 3 2 6" xfId="3006" xr:uid="{00000000-0005-0000-0000-0000D9010000}"/>
    <cellStyle name="Normal 12 4 3 3" xfId="403" xr:uid="{00000000-0005-0000-0000-0000DA010000}"/>
    <cellStyle name="Normal 12 4 3 3 2" xfId="851" xr:uid="{00000000-0005-0000-0000-0000DB010000}"/>
    <cellStyle name="Normal 12 4 3 3 2 2" xfId="1801" xr:uid="{00000000-0005-0000-0000-0000DC010000}"/>
    <cellStyle name="Normal 12 4 3 3 2 2 2" xfId="4538" xr:uid="{00000000-0005-0000-0000-0000DD010000}"/>
    <cellStyle name="Normal 12 4 3 3 2 3" xfId="2693" xr:uid="{00000000-0005-0000-0000-0000DE010000}"/>
    <cellStyle name="Normal 12 4 3 3 2 3 2" xfId="5430" xr:uid="{00000000-0005-0000-0000-0000DF010000}"/>
    <cellStyle name="Normal 12 4 3 3 2 4" xfId="3591" xr:uid="{00000000-0005-0000-0000-0000E0010000}"/>
    <cellStyle name="Normal 12 4 3 3 3" xfId="1354" xr:uid="{00000000-0005-0000-0000-0000E1010000}"/>
    <cellStyle name="Normal 12 4 3 3 3 2" xfId="4091" xr:uid="{00000000-0005-0000-0000-0000E2010000}"/>
    <cellStyle name="Normal 12 4 3 3 4" xfId="2246" xr:uid="{00000000-0005-0000-0000-0000E3010000}"/>
    <cellStyle name="Normal 12 4 3 3 4 2" xfId="4983" xr:uid="{00000000-0005-0000-0000-0000E4010000}"/>
    <cellStyle name="Normal 12 4 3 3 5" xfId="3144" xr:uid="{00000000-0005-0000-0000-0000E5010000}"/>
    <cellStyle name="Normal 12 4 3 4" xfId="612" xr:uid="{00000000-0005-0000-0000-0000E6010000}"/>
    <cellStyle name="Normal 12 4 3 4 2" xfId="1562" xr:uid="{00000000-0005-0000-0000-0000E7010000}"/>
    <cellStyle name="Normal 12 4 3 4 2 2" xfId="4299" xr:uid="{00000000-0005-0000-0000-0000E8010000}"/>
    <cellStyle name="Normal 12 4 3 4 3" xfId="2454" xr:uid="{00000000-0005-0000-0000-0000E9010000}"/>
    <cellStyle name="Normal 12 4 3 4 3 2" xfId="5191" xr:uid="{00000000-0005-0000-0000-0000EA010000}"/>
    <cellStyle name="Normal 12 4 3 4 4" xfId="3352" xr:uid="{00000000-0005-0000-0000-0000EB010000}"/>
    <cellStyle name="Normal 12 4 3 5" xfId="1105" xr:uid="{00000000-0005-0000-0000-0000EC010000}"/>
    <cellStyle name="Normal 12 4 3 5 2" xfId="3842" xr:uid="{00000000-0005-0000-0000-0000ED010000}"/>
    <cellStyle name="Normal 12 4 3 6" xfId="1997" xr:uid="{00000000-0005-0000-0000-0000EE010000}"/>
    <cellStyle name="Normal 12 4 3 6 2" xfId="4734" xr:uid="{00000000-0005-0000-0000-0000EF010000}"/>
    <cellStyle name="Normal 12 4 3 7" xfId="2895" xr:uid="{00000000-0005-0000-0000-0000F0010000}"/>
    <cellStyle name="Normal 12 4 4" xfId="187" xr:uid="{00000000-0005-0000-0000-0000F1010000}"/>
    <cellStyle name="Normal 12 4 4 2" xfId="442" xr:uid="{00000000-0005-0000-0000-0000F2010000}"/>
    <cellStyle name="Normal 12 4 4 2 2" xfId="890" xr:uid="{00000000-0005-0000-0000-0000F3010000}"/>
    <cellStyle name="Normal 12 4 4 2 2 2" xfId="1840" xr:uid="{00000000-0005-0000-0000-0000F4010000}"/>
    <cellStyle name="Normal 12 4 4 2 2 2 2" xfId="4577" xr:uid="{00000000-0005-0000-0000-0000F5010000}"/>
    <cellStyle name="Normal 12 4 4 2 2 3" xfId="2732" xr:uid="{00000000-0005-0000-0000-0000F6010000}"/>
    <cellStyle name="Normal 12 4 4 2 2 3 2" xfId="5469" xr:uid="{00000000-0005-0000-0000-0000F7010000}"/>
    <cellStyle name="Normal 12 4 4 2 2 4" xfId="3630" xr:uid="{00000000-0005-0000-0000-0000F8010000}"/>
    <cellStyle name="Normal 12 4 4 2 3" xfId="1393" xr:uid="{00000000-0005-0000-0000-0000F9010000}"/>
    <cellStyle name="Normal 12 4 4 2 3 2" xfId="4130" xr:uid="{00000000-0005-0000-0000-0000FA010000}"/>
    <cellStyle name="Normal 12 4 4 2 4" xfId="2285" xr:uid="{00000000-0005-0000-0000-0000FB010000}"/>
    <cellStyle name="Normal 12 4 4 2 4 2" xfId="5022" xr:uid="{00000000-0005-0000-0000-0000FC010000}"/>
    <cellStyle name="Normal 12 4 4 2 5" xfId="3183" xr:uid="{00000000-0005-0000-0000-0000FD010000}"/>
    <cellStyle name="Normal 12 4 4 3" xfId="645" xr:uid="{00000000-0005-0000-0000-0000FE010000}"/>
    <cellStyle name="Normal 12 4 4 3 2" xfId="1595" xr:uid="{00000000-0005-0000-0000-0000FF010000}"/>
    <cellStyle name="Normal 12 4 4 3 2 2" xfId="4332" xr:uid="{00000000-0005-0000-0000-000000020000}"/>
    <cellStyle name="Normal 12 4 4 3 3" xfId="2487" xr:uid="{00000000-0005-0000-0000-000001020000}"/>
    <cellStyle name="Normal 12 4 4 3 3 2" xfId="5224" xr:uid="{00000000-0005-0000-0000-000002020000}"/>
    <cellStyle name="Normal 12 4 4 3 4" xfId="3385" xr:uid="{00000000-0005-0000-0000-000003020000}"/>
    <cellStyle name="Normal 12 4 4 4" xfId="1144" xr:uid="{00000000-0005-0000-0000-000004020000}"/>
    <cellStyle name="Normal 12 4 4 4 2" xfId="3881" xr:uid="{00000000-0005-0000-0000-000005020000}"/>
    <cellStyle name="Normal 12 4 4 5" xfId="2036" xr:uid="{00000000-0005-0000-0000-000006020000}"/>
    <cellStyle name="Normal 12 4 4 5 2" xfId="4773" xr:uid="{00000000-0005-0000-0000-000007020000}"/>
    <cellStyle name="Normal 12 4 4 6" xfId="2934" xr:uid="{00000000-0005-0000-0000-000008020000}"/>
    <cellStyle name="Normal 12 4 5" xfId="219" xr:uid="{00000000-0005-0000-0000-000009020000}"/>
    <cellStyle name="Normal 12 4 5 2" xfId="473" xr:uid="{00000000-0005-0000-0000-00000A020000}"/>
    <cellStyle name="Normal 12 4 5 2 2" xfId="921" xr:uid="{00000000-0005-0000-0000-00000B020000}"/>
    <cellStyle name="Normal 12 4 5 2 2 2" xfId="1871" xr:uid="{00000000-0005-0000-0000-00000C020000}"/>
    <cellStyle name="Normal 12 4 5 2 2 2 2" xfId="4608" xr:uid="{00000000-0005-0000-0000-00000D020000}"/>
    <cellStyle name="Normal 12 4 5 2 2 3" xfId="2763" xr:uid="{00000000-0005-0000-0000-00000E020000}"/>
    <cellStyle name="Normal 12 4 5 2 2 3 2" xfId="5500" xr:uid="{00000000-0005-0000-0000-00000F020000}"/>
    <cellStyle name="Normal 12 4 5 2 2 4" xfId="3661" xr:uid="{00000000-0005-0000-0000-000010020000}"/>
    <cellStyle name="Normal 12 4 5 2 3" xfId="1424" xr:uid="{00000000-0005-0000-0000-000011020000}"/>
    <cellStyle name="Normal 12 4 5 2 3 2" xfId="4161" xr:uid="{00000000-0005-0000-0000-000012020000}"/>
    <cellStyle name="Normal 12 4 5 2 4" xfId="2316" xr:uid="{00000000-0005-0000-0000-000013020000}"/>
    <cellStyle name="Normal 12 4 5 2 4 2" xfId="5053" xr:uid="{00000000-0005-0000-0000-000014020000}"/>
    <cellStyle name="Normal 12 4 5 2 5" xfId="3214" xr:uid="{00000000-0005-0000-0000-000015020000}"/>
    <cellStyle name="Normal 12 4 5 3" xfId="672" xr:uid="{00000000-0005-0000-0000-000016020000}"/>
    <cellStyle name="Normal 12 4 5 3 2" xfId="1622" xr:uid="{00000000-0005-0000-0000-000017020000}"/>
    <cellStyle name="Normal 12 4 5 3 2 2" xfId="4359" xr:uid="{00000000-0005-0000-0000-000018020000}"/>
    <cellStyle name="Normal 12 4 5 3 3" xfId="2514" xr:uid="{00000000-0005-0000-0000-000019020000}"/>
    <cellStyle name="Normal 12 4 5 3 3 2" xfId="5251" xr:uid="{00000000-0005-0000-0000-00001A020000}"/>
    <cellStyle name="Normal 12 4 5 3 4" xfId="3412" xr:uid="{00000000-0005-0000-0000-00001B020000}"/>
    <cellStyle name="Normal 12 4 5 4" xfId="1175" xr:uid="{00000000-0005-0000-0000-00001C020000}"/>
    <cellStyle name="Normal 12 4 5 4 2" xfId="3912" xr:uid="{00000000-0005-0000-0000-00001D020000}"/>
    <cellStyle name="Normal 12 4 5 5" xfId="2067" xr:uid="{00000000-0005-0000-0000-00001E020000}"/>
    <cellStyle name="Normal 12 4 5 5 2" xfId="4804" xr:uid="{00000000-0005-0000-0000-00001F020000}"/>
    <cellStyle name="Normal 12 4 5 6" xfId="2965" xr:uid="{00000000-0005-0000-0000-000020020000}"/>
    <cellStyle name="Normal 12 4 6" xfId="299" xr:uid="{00000000-0005-0000-0000-000021020000}"/>
    <cellStyle name="Normal 12 4 6 2" xfId="752" xr:uid="{00000000-0005-0000-0000-000022020000}"/>
    <cellStyle name="Normal 12 4 6 2 2" xfId="1702" xr:uid="{00000000-0005-0000-0000-000023020000}"/>
    <cellStyle name="Normal 12 4 6 2 2 2" xfId="4439" xr:uid="{00000000-0005-0000-0000-000024020000}"/>
    <cellStyle name="Normal 12 4 6 2 3" xfId="2594" xr:uid="{00000000-0005-0000-0000-000025020000}"/>
    <cellStyle name="Normal 12 4 6 2 3 2" xfId="5331" xr:uid="{00000000-0005-0000-0000-000026020000}"/>
    <cellStyle name="Normal 12 4 6 2 4" xfId="3492" xr:uid="{00000000-0005-0000-0000-000027020000}"/>
    <cellStyle name="Normal 12 4 6 3" xfId="1255" xr:uid="{00000000-0005-0000-0000-000028020000}"/>
    <cellStyle name="Normal 12 4 6 3 2" xfId="3992" xr:uid="{00000000-0005-0000-0000-000029020000}"/>
    <cellStyle name="Normal 12 4 6 4" xfId="2147" xr:uid="{00000000-0005-0000-0000-00002A020000}"/>
    <cellStyle name="Normal 12 4 6 4 2" xfId="4884" xr:uid="{00000000-0005-0000-0000-00002B020000}"/>
    <cellStyle name="Normal 12 4 6 5" xfId="3045" xr:uid="{00000000-0005-0000-0000-00002C020000}"/>
    <cellStyle name="Normal 12 4 7" xfId="362" xr:uid="{00000000-0005-0000-0000-00002D020000}"/>
    <cellStyle name="Normal 12 4 7 2" xfId="810" xr:uid="{00000000-0005-0000-0000-00002E020000}"/>
    <cellStyle name="Normal 12 4 7 2 2" xfId="1760" xr:uid="{00000000-0005-0000-0000-00002F020000}"/>
    <cellStyle name="Normal 12 4 7 2 2 2" xfId="4497" xr:uid="{00000000-0005-0000-0000-000030020000}"/>
    <cellStyle name="Normal 12 4 7 2 3" xfId="2652" xr:uid="{00000000-0005-0000-0000-000031020000}"/>
    <cellStyle name="Normal 12 4 7 2 3 2" xfId="5389" xr:uid="{00000000-0005-0000-0000-000032020000}"/>
    <cellStyle name="Normal 12 4 7 2 4" xfId="3550" xr:uid="{00000000-0005-0000-0000-000033020000}"/>
    <cellStyle name="Normal 12 4 7 3" xfId="1313" xr:uid="{00000000-0005-0000-0000-000034020000}"/>
    <cellStyle name="Normal 12 4 7 3 2" xfId="4050" xr:uid="{00000000-0005-0000-0000-000035020000}"/>
    <cellStyle name="Normal 12 4 7 4" xfId="2205" xr:uid="{00000000-0005-0000-0000-000036020000}"/>
    <cellStyle name="Normal 12 4 7 4 2" xfId="4942" xr:uid="{00000000-0005-0000-0000-000037020000}"/>
    <cellStyle name="Normal 12 4 7 5" xfId="3103" xr:uid="{00000000-0005-0000-0000-000038020000}"/>
    <cellStyle name="Normal 12 4 8" xfId="553" xr:uid="{00000000-0005-0000-0000-000039020000}"/>
    <cellStyle name="Normal 12 4 8 2" xfId="1504" xr:uid="{00000000-0005-0000-0000-00003A020000}"/>
    <cellStyle name="Normal 12 4 8 2 2" xfId="4241" xr:uid="{00000000-0005-0000-0000-00003B020000}"/>
    <cellStyle name="Normal 12 4 8 3" xfId="2396" xr:uid="{00000000-0005-0000-0000-00003C020000}"/>
    <cellStyle name="Normal 12 4 8 3 2" xfId="5133" xr:uid="{00000000-0005-0000-0000-00003D020000}"/>
    <cellStyle name="Normal 12 4 8 4" xfId="3294" xr:uid="{00000000-0005-0000-0000-00003E020000}"/>
    <cellStyle name="Normal 12 4 9" xfId="1001" xr:uid="{00000000-0005-0000-0000-00003F020000}"/>
    <cellStyle name="Normal 12 4 9 2" xfId="3741" xr:uid="{00000000-0005-0000-0000-000040020000}"/>
    <cellStyle name="Normal 12 5" xfId="104" xr:uid="{00000000-0005-0000-0000-000041020000}"/>
    <cellStyle name="Normal 12 5 10" xfId="1070" xr:uid="{00000000-0005-0000-0000-000042020000}"/>
    <cellStyle name="Normal 12 5 10 2" xfId="3807" xr:uid="{00000000-0005-0000-0000-000043020000}"/>
    <cellStyle name="Normal 12 5 11" xfId="1962" xr:uid="{00000000-0005-0000-0000-000044020000}"/>
    <cellStyle name="Normal 12 5 11 2" xfId="4699" xr:uid="{00000000-0005-0000-0000-000045020000}"/>
    <cellStyle name="Normal 12 5 12" xfId="2860" xr:uid="{00000000-0005-0000-0000-000046020000}"/>
    <cellStyle name="Normal 12 5 2" xfId="114" xr:uid="{00000000-0005-0000-0000-000047020000}"/>
    <cellStyle name="Normal 12 5 2 10" xfId="2869" xr:uid="{00000000-0005-0000-0000-000048020000}"/>
    <cellStyle name="Normal 12 5 2 2" xfId="162" xr:uid="{00000000-0005-0000-0000-000049020000}"/>
    <cellStyle name="Normal 12 5 2 2 2" xfId="275" xr:uid="{00000000-0005-0000-0000-00004A020000}"/>
    <cellStyle name="Normal 12 5 2 2 2 2" xfId="529" xr:uid="{00000000-0005-0000-0000-00004B020000}"/>
    <cellStyle name="Normal 12 5 2 2 2 2 2" xfId="977" xr:uid="{00000000-0005-0000-0000-00004C020000}"/>
    <cellStyle name="Normal 12 5 2 2 2 2 2 2" xfId="1927" xr:uid="{00000000-0005-0000-0000-00004D020000}"/>
    <cellStyle name="Normal 12 5 2 2 2 2 2 2 2" xfId="4664" xr:uid="{00000000-0005-0000-0000-00004E020000}"/>
    <cellStyle name="Normal 12 5 2 2 2 2 2 3" xfId="2819" xr:uid="{00000000-0005-0000-0000-00004F020000}"/>
    <cellStyle name="Normal 12 5 2 2 2 2 2 3 2" xfId="5556" xr:uid="{00000000-0005-0000-0000-000050020000}"/>
    <cellStyle name="Normal 12 5 2 2 2 2 2 4" xfId="3717" xr:uid="{00000000-0005-0000-0000-000051020000}"/>
    <cellStyle name="Normal 12 5 2 2 2 2 3" xfId="1480" xr:uid="{00000000-0005-0000-0000-000052020000}"/>
    <cellStyle name="Normal 12 5 2 2 2 2 3 2" xfId="4217" xr:uid="{00000000-0005-0000-0000-000053020000}"/>
    <cellStyle name="Normal 12 5 2 2 2 2 4" xfId="2372" xr:uid="{00000000-0005-0000-0000-000054020000}"/>
    <cellStyle name="Normal 12 5 2 2 2 2 4 2" xfId="5109" xr:uid="{00000000-0005-0000-0000-000055020000}"/>
    <cellStyle name="Normal 12 5 2 2 2 2 5" xfId="3270" xr:uid="{00000000-0005-0000-0000-000056020000}"/>
    <cellStyle name="Normal 12 5 2 2 2 3" xfId="728" xr:uid="{00000000-0005-0000-0000-000057020000}"/>
    <cellStyle name="Normal 12 5 2 2 2 3 2" xfId="1678" xr:uid="{00000000-0005-0000-0000-000058020000}"/>
    <cellStyle name="Normal 12 5 2 2 2 3 2 2" xfId="4415" xr:uid="{00000000-0005-0000-0000-000059020000}"/>
    <cellStyle name="Normal 12 5 2 2 2 3 3" xfId="2570" xr:uid="{00000000-0005-0000-0000-00005A020000}"/>
    <cellStyle name="Normal 12 5 2 2 2 3 3 2" xfId="5307" xr:uid="{00000000-0005-0000-0000-00005B020000}"/>
    <cellStyle name="Normal 12 5 2 2 2 3 4" xfId="3468" xr:uid="{00000000-0005-0000-0000-00005C020000}"/>
    <cellStyle name="Normal 12 5 2 2 2 4" xfId="1231" xr:uid="{00000000-0005-0000-0000-00005D020000}"/>
    <cellStyle name="Normal 12 5 2 2 2 4 2" xfId="3968" xr:uid="{00000000-0005-0000-0000-00005E020000}"/>
    <cellStyle name="Normal 12 5 2 2 2 5" xfId="2123" xr:uid="{00000000-0005-0000-0000-00005F020000}"/>
    <cellStyle name="Normal 12 5 2 2 2 5 2" xfId="4860" xr:uid="{00000000-0005-0000-0000-000060020000}"/>
    <cellStyle name="Normal 12 5 2 2 2 6" xfId="3021" xr:uid="{00000000-0005-0000-0000-000061020000}"/>
    <cellStyle name="Normal 12 5 2 2 3" xfId="418" xr:uid="{00000000-0005-0000-0000-000062020000}"/>
    <cellStyle name="Normal 12 5 2 2 3 2" xfId="866" xr:uid="{00000000-0005-0000-0000-000063020000}"/>
    <cellStyle name="Normal 12 5 2 2 3 2 2" xfId="1816" xr:uid="{00000000-0005-0000-0000-000064020000}"/>
    <cellStyle name="Normal 12 5 2 2 3 2 2 2" xfId="4553" xr:uid="{00000000-0005-0000-0000-000065020000}"/>
    <cellStyle name="Normal 12 5 2 2 3 2 3" xfId="2708" xr:uid="{00000000-0005-0000-0000-000066020000}"/>
    <cellStyle name="Normal 12 5 2 2 3 2 3 2" xfId="5445" xr:uid="{00000000-0005-0000-0000-000067020000}"/>
    <cellStyle name="Normal 12 5 2 2 3 2 4" xfId="3606" xr:uid="{00000000-0005-0000-0000-000068020000}"/>
    <cellStyle name="Normal 12 5 2 2 3 3" xfId="1369" xr:uid="{00000000-0005-0000-0000-000069020000}"/>
    <cellStyle name="Normal 12 5 2 2 3 3 2" xfId="4106" xr:uid="{00000000-0005-0000-0000-00006A020000}"/>
    <cellStyle name="Normal 12 5 2 2 3 4" xfId="2261" xr:uid="{00000000-0005-0000-0000-00006B020000}"/>
    <cellStyle name="Normal 12 5 2 2 3 4 2" xfId="4998" xr:uid="{00000000-0005-0000-0000-00006C020000}"/>
    <cellStyle name="Normal 12 5 2 2 3 5" xfId="3159" xr:uid="{00000000-0005-0000-0000-00006D020000}"/>
    <cellStyle name="Normal 12 5 2 2 4" xfId="627" xr:uid="{00000000-0005-0000-0000-00006E020000}"/>
    <cellStyle name="Normal 12 5 2 2 4 2" xfId="1577" xr:uid="{00000000-0005-0000-0000-00006F020000}"/>
    <cellStyle name="Normal 12 5 2 2 4 2 2" xfId="4314" xr:uid="{00000000-0005-0000-0000-000070020000}"/>
    <cellStyle name="Normal 12 5 2 2 4 3" xfId="2469" xr:uid="{00000000-0005-0000-0000-000071020000}"/>
    <cellStyle name="Normal 12 5 2 2 4 3 2" xfId="5206" xr:uid="{00000000-0005-0000-0000-000072020000}"/>
    <cellStyle name="Normal 12 5 2 2 4 4" xfId="3367" xr:uid="{00000000-0005-0000-0000-000073020000}"/>
    <cellStyle name="Normal 12 5 2 2 5" xfId="1120" xr:uid="{00000000-0005-0000-0000-000074020000}"/>
    <cellStyle name="Normal 12 5 2 2 5 2" xfId="3857" xr:uid="{00000000-0005-0000-0000-000075020000}"/>
    <cellStyle name="Normal 12 5 2 2 6" xfId="2012" xr:uid="{00000000-0005-0000-0000-000076020000}"/>
    <cellStyle name="Normal 12 5 2 2 6 2" xfId="4749" xr:uid="{00000000-0005-0000-0000-000077020000}"/>
    <cellStyle name="Normal 12 5 2 2 7" xfId="2910" xr:uid="{00000000-0005-0000-0000-000078020000}"/>
    <cellStyle name="Normal 12 5 2 3" xfId="234" xr:uid="{00000000-0005-0000-0000-000079020000}"/>
    <cellStyle name="Normal 12 5 2 3 2" xfId="488" xr:uid="{00000000-0005-0000-0000-00007A020000}"/>
    <cellStyle name="Normal 12 5 2 3 2 2" xfId="936" xr:uid="{00000000-0005-0000-0000-00007B020000}"/>
    <cellStyle name="Normal 12 5 2 3 2 2 2" xfId="1886" xr:uid="{00000000-0005-0000-0000-00007C020000}"/>
    <cellStyle name="Normal 12 5 2 3 2 2 2 2" xfId="4623" xr:uid="{00000000-0005-0000-0000-00007D020000}"/>
    <cellStyle name="Normal 12 5 2 3 2 2 3" xfId="2778" xr:uid="{00000000-0005-0000-0000-00007E020000}"/>
    <cellStyle name="Normal 12 5 2 3 2 2 3 2" xfId="5515" xr:uid="{00000000-0005-0000-0000-00007F020000}"/>
    <cellStyle name="Normal 12 5 2 3 2 2 4" xfId="3676" xr:uid="{00000000-0005-0000-0000-000080020000}"/>
    <cellStyle name="Normal 12 5 2 3 2 3" xfId="1439" xr:uid="{00000000-0005-0000-0000-000081020000}"/>
    <cellStyle name="Normal 12 5 2 3 2 3 2" xfId="4176" xr:uid="{00000000-0005-0000-0000-000082020000}"/>
    <cellStyle name="Normal 12 5 2 3 2 4" xfId="2331" xr:uid="{00000000-0005-0000-0000-000083020000}"/>
    <cellStyle name="Normal 12 5 2 3 2 4 2" xfId="5068" xr:uid="{00000000-0005-0000-0000-000084020000}"/>
    <cellStyle name="Normal 12 5 2 3 2 5" xfId="3229" xr:uid="{00000000-0005-0000-0000-000085020000}"/>
    <cellStyle name="Normal 12 5 2 3 3" xfId="687" xr:uid="{00000000-0005-0000-0000-000086020000}"/>
    <cellStyle name="Normal 12 5 2 3 3 2" xfId="1637" xr:uid="{00000000-0005-0000-0000-000087020000}"/>
    <cellStyle name="Normal 12 5 2 3 3 2 2" xfId="4374" xr:uid="{00000000-0005-0000-0000-000088020000}"/>
    <cellStyle name="Normal 12 5 2 3 3 3" xfId="2529" xr:uid="{00000000-0005-0000-0000-000089020000}"/>
    <cellStyle name="Normal 12 5 2 3 3 3 2" xfId="5266" xr:uid="{00000000-0005-0000-0000-00008A020000}"/>
    <cellStyle name="Normal 12 5 2 3 3 4" xfId="3427" xr:uid="{00000000-0005-0000-0000-00008B020000}"/>
    <cellStyle name="Normal 12 5 2 3 4" xfId="1190" xr:uid="{00000000-0005-0000-0000-00008C020000}"/>
    <cellStyle name="Normal 12 5 2 3 4 2" xfId="3927" xr:uid="{00000000-0005-0000-0000-00008D020000}"/>
    <cellStyle name="Normal 12 5 2 3 5" xfId="2082" xr:uid="{00000000-0005-0000-0000-00008E020000}"/>
    <cellStyle name="Normal 12 5 2 3 5 2" xfId="4819" xr:uid="{00000000-0005-0000-0000-00008F020000}"/>
    <cellStyle name="Normal 12 5 2 3 6" xfId="2980" xr:uid="{00000000-0005-0000-0000-000090020000}"/>
    <cellStyle name="Normal 12 5 2 4" xfId="327" xr:uid="{00000000-0005-0000-0000-000091020000}"/>
    <cellStyle name="Normal 12 5 2 4 2" xfId="780" xr:uid="{00000000-0005-0000-0000-000092020000}"/>
    <cellStyle name="Normal 12 5 2 4 2 2" xfId="1730" xr:uid="{00000000-0005-0000-0000-000093020000}"/>
    <cellStyle name="Normal 12 5 2 4 2 2 2" xfId="4467" xr:uid="{00000000-0005-0000-0000-000094020000}"/>
    <cellStyle name="Normal 12 5 2 4 2 3" xfId="2622" xr:uid="{00000000-0005-0000-0000-000095020000}"/>
    <cellStyle name="Normal 12 5 2 4 2 3 2" xfId="5359" xr:uid="{00000000-0005-0000-0000-000096020000}"/>
    <cellStyle name="Normal 12 5 2 4 2 4" xfId="3520" xr:uid="{00000000-0005-0000-0000-000097020000}"/>
    <cellStyle name="Normal 12 5 2 4 3" xfId="1283" xr:uid="{00000000-0005-0000-0000-000098020000}"/>
    <cellStyle name="Normal 12 5 2 4 3 2" xfId="4020" xr:uid="{00000000-0005-0000-0000-000099020000}"/>
    <cellStyle name="Normal 12 5 2 4 4" xfId="2175" xr:uid="{00000000-0005-0000-0000-00009A020000}"/>
    <cellStyle name="Normal 12 5 2 4 4 2" xfId="4912" xr:uid="{00000000-0005-0000-0000-00009B020000}"/>
    <cellStyle name="Normal 12 5 2 4 5" xfId="3073" xr:uid="{00000000-0005-0000-0000-00009C020000}"/>
    <cellStyle name="Normal 12 5 2 5" xfId="377" xr:uid="{00000000-0005-0000-0000-00009D020000}"/>
    <cellStyle name="Normal 12 5 2 5 2" xfId="825" xr:uid="{00000000-0005-0000-0000-00009E020000}"/>
    <cellStyle name="Normal 12 5 2 5 2 2" xfId="1775" xr:uid="{00000000-0005-0000-0000-00009F020000}"/>
    <cellStyle name="Normal 12 5 2 5 2 2 2" xfId="4512" xr:uid="{00000000-0005-0000-0000-0000A0020000}"/>
    <cellStyle name="Normal 12 5 2 5 2 3" xfId="2667" xr:uid="{00000000-0005-0000-0000-0000A1020000}"/>
    <cellStyle name="Normal 12 5 2 5 2 3 2" xfId="5404" xr:uid="{00000000-0005-0000-0000-0000A2020000}"/>
    <cellStyle name="Normal 12 5 2 5 2 4" xfId="3565" xr:uid="{00000000-0005-0000-0000-0000A3020000}"/>
    <cellStyle name="Normal 12 5 2 5 3" xfId="1328" xr:uid="{00000000-0005-0000-0000-0000A4020000}"/>
    <cellStyle name="Normal 12 5 2 5 3 2" xfId="4065" xr:uid="{00000000-0005-0000-0000-0000A5020000}"/>
    <cellStyle name="Normal 12 5 2 5 4" xfId="2220" xr:uid="{00000000-0005-0000-0000-0000A6020000}"/>
    <cellStyle name="Normal 12 5 2 5 4 2" xfId="4957" xr:uid="{00000000-0005-0000-0000-0000A7020000}"/>
    <cellStyle name="Normal 12 5 2 5 5" xfId="3118" xr:uid="{00000000-0005-0000-0000-0000A8020000}"/>
    <cellStyle name="Normal 12 5 2 6" xfId="582" xr:uid="{00000000-0005-0000-0000-0000A9020000}"/>
    <cellStyle name="Normal 12 5 2 6 2" xfId="1532" xr:uid="{00000000-0005-0000-0000-0000AA020000}"/>
    <cellStyle name="Normal 12 5 2 6 2 2" xfId="4269" xr:uid="{00000000-0005-0000-0000-0000AB020000}"/>
    <cellStyle name="Normal 12 5 2 6 3" xfId="2424" xr:uid="{00000000-0005-0000-0000-0000AC020000}"/>
    <cellStyle name="Normal 12 5 2 6 3 2" xfId="5161" xr:uid="{00000000-0005-0000-0000-0000AD020000}"/>
    <cellStyle name="Normal 12 5 2 6 4" xfId="3322" xr:uid="{00000000-0005-0000-0000-0000AE020000}"/>
    <cellStyle name="Normal 12 5 2 7" xfId="1030" xr:uid="{00000000-0005-0000-0000-0000AF020000}"/>
    <cellStyle name="Normal 12 5 2 7 2" xfId="3769" xr:uid="{00000000-0005-0000-0000-0000B0020000}"/>
    <cellStyle name="Normal 12 5 2 8" xfId="1079" xr:uid="{00000000-0005-0000-0000-0000B1020000}"/>
    <cellStyle name="Normal 12 5 2 8 2" xfId="3816" xr:uid="{00000000-0005-0000-0000-0000B2020000}"/>
    <cellStyle name="Normal 12 5 2 9" xfId="1971" xr:uid="{00000000-0005-0000-0000-0000B3020000}"/>
    <cellStyle name="Normal 12 5 2 9 2" xfId="4708" xr:uid="{00000000-0005-0000-0000-0000B4020000}"/>
    <cellStyle name="Normal 12 5 3" xfId="153" xr:uid="{00000000-0005-0000-0000-0000B5020000}"/>
    <cellStyle name="Normal 12 5 3 2" xfId="266" xr:uid="{00000000-0005-0000-0000-0000B6020000}"/>
    <cellStyle name="Normal 12 5 3 2 2" xfId="520" xr:uid="{00000000-0005-0000-0000-0000B7020000}"/>
    <cellStyle name="Normal 12 5 3 2 2 2" xfId="968" xr:uid="{00000000-0005-0000-0000-0000B8020000}"/>
    <cellStyle name="Normal 12 5 3 2 2 2 2" xfId="1918" xr:uid="{00000000-0005-0000-0000-0000B9020000}"/>
    <cellStyle name="Normal 12 5 3 2 2 2 2 2" xfId="4655" xr:uid="{00000000-0005-0000-0000-0000BA020000}"/>
    <cellStyle name="Normal 12 5 3 2 2 2 3" xfId="2810" xr:uid="{00000000-0005-0000-0000-0000BB020000}"/>
    <cellStyle name="Normal 12 5 3 2 2 2 3 2" xfId="5547" xr:uid="{00000000-0005-0000-0000-0000BC020000}"/>
    <cellStyle name="Normal 12 5 3 2 2 2 4" xfId="3708" xr:uid="{00000000-0005-0000-0000-0000BD020000}"/>
    <cellStyle name="Normal 12 5 3 2 2 3" xfId="1471" xr:uid="{00000000-0005-0000-0000-0000BE020000}"/>
    <cellStyle name="Normal 12 5 3 2 2 3 2" xfId="4208" xr:uid="{00000000-0005-0000-0000-0000BF020000}"/>
    <cellStyle name="Normal 12 5 3 2 2 4" xfId="2363" xr:uid="{00000000-0005-0000-0000-0000C0020000}"/>
    <cellStyle name="Normal 12 5 3 2 2 4 2" xfId="5100" xr:uid="{00000000-0005-0000-0000-0000C1020000}"/>
    <cellStyle name="Normal 12 5 3 2 2 5" xfId="3261" xr:uid="{00000000-0005-0000-0000-0000C2020000}"/>
    <cellStyle name="Normal 12 5 3 2 3" xfId="719" xr:uid="{00000000-0005-0000-0000-0000C3020000}"/>
    <cellStyle name="Normal 12 5 3 2 3 2" xfId="1669" xr:uid="{00000000-0005-0000-0000-0000C4020000}"/>
    <cellStyle name="Normal 12 5 3 2 3 2 2" xfId="4406" xr:uid="{00000000-0005-0000-0000-0000C5020000}"/>
    <cellStyle name="Normal 12 5 3 2 3 3" xfId="2561" xr:uid="{00000000-0005-0000-0000-0000C6020000}"/>
    <cellStyle name="Normal 12 5 3 2 3 3 2" xfId="5298" xr:uid="{00000000-0005-0000-0000-0000C7020000}"/>
    <cellStyle name="Normal 12 5 3 2 3 4" xfId="3459" xr:uid="{00000000-0005-0000-0000-0000C8020000}"/>
    <cellStyle name="Normal 12 5 3 2 4" xfId="1222" xr:uid="{00000000-0005-0000-0000-0000C9020000}"/>
    <cellStyle name="Normal 12 5 3 2 4 2" xfId="3959" xr:uid="{00000000-0005-0000-0000-0000CA020000}"/>
    <cellStyle name="Normal 12 5 3 2 5" xfId="2114" xr:uid="{00000000-0005-0000-0000-0000CB020000}"/>
    <cellStyle name="Normal 12 5 3 2 5 2" xfId="4851" xr:uid="{00000000-0005-0000-0000-0000CC020000}"/>
    <cellStyle name="Normal 12 5 3 2 6" xfId="3012" xr:uid="{00000000-0005-0000-0000-0000CD020000}"/>
    <cellStyle name="Normal 12 5 3 3" xfId="409" xr:uid="{00000000-0005-0000-0000-0000CE020000}"/>
    <cellStyle name="Normal 12 5 3 3 2" xfId="857" xr:uid="{00000000-0005-0000-0000-0000CF020000}"/>
    <cellStyle name="Normal 12 5 3 3 2 2" xfId="1807" xr:uid="{00000000-0005-0000-0000-0000D0020000}"/>
    <cellStyle name="Normal 12 5 3 3 2 2 2" xfId="4544" xr:uid="{00000000-0005-0000-0000-0000D1020000}"/>
    <cellStyle name="Normal 12 5 3 3 2 3" xfId="2699" xr:uid="{00000000-0005-0000-0000-0000D2020000}"/>
    <cellStyle name="Normal 12 5 3 3 2 3 2" xfId="5436" xr:uid="{00000000-0005-0000-0000-0000D3020000}"/>
    <cellStyle name="Normal 12 5 3 3 2 4" xfId="3597" xr:uid="{00000000-0005-0000-0000-0000D4020000}"/>
    <cellStyle name="Normal 12 5 3 3 3" xfId="1360" xr:uid="{00000000-0005-0000-0000-0000D5020000}"/>
    <cellStyle name="Normal 12 5 3 3 3 2" xfId="4097" xr:uid="{00000000-0005-0000-0000-0000D6020000}"/>
    <cellStyle name="Normal 12 5 3 3 4" xfId="2252" xr:uid="{00000000-0005-0000-0000-0000D7020000}"/>
    <cellStyle name="Normal 12 5 3 3 4 2" xfId="4989" xr:uid="{00000000-0005-0000-0000-0000D8020000}"/>
    <cellStyle name="Normal 12 5 3 3 5" xfId="3150" xr:uid="{00000000-0005-0000-0000-0000D9020000}"/>
    <cellStyle name="Normal 12 5 3 4" xfId="618" xr:uid="{00000000-0005-0000-0000-0000DA020000}"/>
    <cellStyle name="Normal 12 5 3 4 2" xfId="1568" xr:uid="{00000000-0005-0000-0000-0000DB020000}"/>
    <cellStyle name="Normal 12 5 3 4 2 2" xfId="4305" xr:uid="{00000000-0005-0000-0000-0000DC020000}"/>
    <cellStyle name="Normal 12 5 3 4 3" xfId="2460" xr:uid="{00000000-0005-0000-0000-0000DD020000}"/>
    <cellStyle name="Normal 12 5 3 4 3 2" xfId="5197" xr:uid="{00000000-0005-0000-0000-0000DE020000}"/>
    <cellStyle name="Normal 12 5 3 4 4" xfId="3358" xr:uid="{00000000-0005-0000-0000-0000DF020000}"/>
    <cellStyle name="Normal 12 5 3 5" xfId="1111" xr:uid="{00000000-0005-0000-0000-0000E0020000}"/>
    <cellStyle name="Normal 12 5 3 5 2" xfId="3848" xr:uid="{00000000-0005-0000-0000-0000E1020000}"/>
    <cellStyle name="Normal 12 5 3 6" xfId="2003" xr:uid="{00000000-0005-0000-0000-0000E2020000}"/>
    <cellStyle name="Normal 12 5 3 6 2" xfId="4740" xr:uid="{00000000-0005-0000-0000-0000E3020000}"/>
    <cellStyle name="Normal 12 5 3 7" xfId="2901" xr:uid="{00000000-0005-0000-0000-0000E4020000}"/>
    <cellStyle name="Normal 12 5 4" xfId="188" xr:uid="{00000000-0005-0000-0000-0000E5020000}"/>
    <cellStyle name="Normal 12 5 4 2" xfId="443" xr:uid="{00000000-0005-0000-0000-0000E6020000}"/>
    <cellStyle name="Normal 12 5 4 2 2" xfId="891" xr:uid="{00000000-0005-0000-0000-0000E7020000}"/>
    <cellStyle name="Normal 12 5 4 2 2 2" xfId="1841" xr:uid="{00000000-0005-0000-0000-0000E8020000}"/>
    <cellStyle name="Normal 12 5 4 2 2 2 2" xfId="4578" xr:uid="{00000000-0005-0000-0000-0000E9020000}"/>
    <cellStyle name="Normal 12 5 4 2 2 3" xfId="2733" xr:uid="{00000000-0005-0000-0000-0000EA020000}"/>
    <cellStyle name="Normal 12 5 4 2 2 3 2" xfId="5470" xr:uid="{00000000-0005-0000-0000-0000EB020000}"/>
    <cellStyle name="Normal 12 5 4 2 2 4" xfId="3631" xr:uid="{00000000-0005-0000-0000-0000EC020000}"/>
    <cellStyle name="Normal 12 5 4 2 3" xfId="1394" xr:uid="{00000000-0005-0000-0000-0000ED020000}"/>
    <cellStyle name="Normal 12 5 4 2 3 2" xfId="4131" xr:uid="{00000000-0005-0000-0000-0000EE020000}"/>
    <cellStyle name="Normal 12 5 4 2 4" xfId="2286" xr:uid="{00000000-0005-0000-0000-0000EF020000}"/>
    <cellStyle name="Normal 12 5 4 2 4 2" xfId="5023" xr:uid="{00000000-0005-0000-0000-0000F0020000}"/>
    <cellStyle name="Normal 12 5 4 2 5" xfId="3184" xr:uid="{00000000-0005-0000-0000-0000F1020000}"/>
    <cellStyle name="Normal 12 5 4 3" xfId="646" xr:uid="{00000000-0005-0000-0000-0000F2020000}"/>
    <cellStyle name="Normal 12 5 4 3 2" xfId="1596" xr:uid="{00000000-0005-0000-0000-0000F3020000}"/>
    <cellStyle name="Normal 12 5 4 3 2 2" xfId="4333" xr:uid="{00000000-0005-0000-0000-0000F4020000}"/>
    <cellStyle name="Normal 12 5 4 3 3" xfId="2488" xr:uid="{00000000-0005-0000-0000-0000F5020000}"/>
    <cellStyle name="Normal 12 5 4 3 3 2" xfId="5225" xr:uid="{00000000-0005-0000-0000-0000F6020000}"/>
    <cellStyle name="Normal 12 5 4 3 4" xfId="3386" xr:uid="{00000000-0005-0000-0000-0000F7020000}"/>
    <cellStyle name="Normal 12 5 4 4" xfId="1145" xr:uid="{00000000-0005-0000-0000-0000F8020000}"/>
    <cellStyle name="Normal 12 5 4 4 2" xfId="3882" xr:uid="{00000000-0005-0000-0000-0000F9020000}"/>
    <cellStyle name="Normal 12 5 4 5" xfId="2037" xr:uid="{00000000-0005-0000-0000-0000FA020000}"/>
    <cellStyle name="Normal 12 5 4 5 2" xfId="4774" xr:uid="{00000000-0005-0000-0000-0000FB020000}"/>
    <cellStyle name="Normal 12 5 4 6" xfId="2935" xr:uid="{00000000-0005-0000-0000-0000FC020000}"/>
    <cellStyle name="Normal 12 5 5" xfId="225" xr:uid="{00000000-0005-0000-0000-0000FD020000}"/>
    <cellStyle name="Normal 12 5 5 2" xfId="479" xr:uid="{00000000-0005-0000-0000-0000FE020000}"/>
    <cellStyle name="Normal 12 5 5 2 2" xfId="927" xr:uid="{00000000-0005-0000-0000-0000FF020000}"/>
    <cellStyle name="Normal 12 5 5 2 2 2" xfId="1877" xr:uid="{00000000-0005-0000-0000-000000030000}"/>
    <cellStyle name="Normal 12 5 5 2 2 2 2" xfId="4614" xr:uid="{00000000-0005-0000-0000-000001030000}"/>
    <cellStyle name="Normal 12 5 5 2 2 3" xfId="2769" xr:uid="{00000000-0005-0000-0000-000002030000}"/>
    <cellStyle name="Normal 12 5 5 2 2 3 2" xfId="5506" xr:uid="{00000000-0005-0000-0000-000003030000}"/>
    <cellStyle name="Normal 12 5 5 2 2 4" xfId="3667" xr:uid="{00000000-0005-0000-0000-000004030000}"/>
    <cellStyle name="Normal 12 5 5 2 3" xfId="1430" xr:uid="{00000000-0005-0000-0000-000005030000}"/>
    <cellStyle name="Normal 12 5 5 2 3 2" xfId="4167" xr:uid="{00000000-0005-0000-0000-000006030000}"/>
    <cellStyle name="Normal 12 5 5 2 4" xfId="2322" xr:uid="{00000000-0005-0000-0000-000007030000}"/>
    <cellStyle name="Normal 12 5 5 2 4 2" xfId="5059" xr:uid="{00000000-0005-0000-0000-000008030000}"/>
    <cellStyle name="Normal 12 5 5 2 5" xfId="3220" xr:uid="{00000000-0005-0000-0000-000009030000}"/>
    <cellStyle name="Normal 12 5 5 3" xfId="678" xr:uid="{00000000-0005-0000-0000-00000A030000}"/>
    <cellStyle name="Normal 12 5 5 3 2" xfId="1628" xr:uid="{00000000-0005-0000-0000-00000B030000}"/>
    <cellStyle name="Normal 12 5 5 3 2 2" xfId="4365" xr:uid="{00000000-0005-0000-0000-00000C030000}"/>
    <cellStyle name="Normal 12 5 5 3 3" xfId="2520" xr:uid="{00000000-0005-0000-0000-00000D030000}"/>
    <cellStyle name="Normal 12 5 5 3 3 2" xfId="5257" xr:uid="{00000000-0005-0000-0000-00000E030000}"/>
    <cellStyle name="Normal 12 5 5 3 4" xfId="3418" xr:uid="{00000000-0005-0000-0000-00000F030000}"/>
    <cellStyle name="Normal 12 5 5 4" xfId="1181" xr:uid="{00000000-0005-0000-0000-000010030000}"/>
    <cellStyle name="Normal 12 5 5 4 2" xfId="3918" xr:uid="{00000000-0005-0000-0000-000011030000}"/>
    <cellStyle name="Normal 12 5 5 5" xfId="2073" xr:uid="{00000000-0005-0000-0000-000012030000}"/>
    <cellStyle name="Normal 12 5 5 5 2" xfId="4810" xr:uid="{00000000-0005-0000-0000-000013030000}"/>
    <cellStyle name="Normal 12 5 5 6" xfId="2971" xr:uid="{00000000-0005-0000-0000-000014030000}"/>
    <cellStyle name="Normal 12 5 6" xfId="300" xr:uid="{00000000-0005-0000-0000-000015030000}"/>
    <cellStyle name="Normal 12 5 6 2" xfId="753" xr:uid="{00000000-0005-0000-0000-000016030000}"/>
    <cellStyle name="Normal 12 5 6 2 2" xfId="1703" xr:uid="{00000000-0005-0000-0000-000017030000}"/>
    <cellStyle name="Normal 12 5 6 2 2 2" xfId="4440" xr:uid="{00000000-0005-0000-0000-000018030000}"/>
    <cellStyle name="Normal 12 5 6 2 3" xfId="2595" xr:uid="{00000000-0005-0000-0000-000019030000}"/>
    <cellStyle name="Normal 12 5 6 2 3 2" xfId="5332" xr:uid="{00000000-0005-0000-0000-00001A030000}"/>
    <cellStyle name="Normal 12 5 6 2 4" xfId="3493" xr:uid="{00000000-0005-0000-0000-00001B030000}"/>
    <cellStyle name="Normal 12 5 6 3" xfId="1256" xr:uid="{00000000-0005-0000-0000-00001C030000}"/>
    <cellStyle name="Normal 12 5 6 3 2" xfId="3993" xr:uid="{00000000-0005-0000-0000-00001D030000}"/>
    <cellStyle name="Normal 12 5 6 4" xfId="2148" xr:uid="{00000000-0005-0000-0000-00001E030000}"/>
    <cellStyle name="Normal 12 5 6 4 2" xfId="4885" xr:uid="{00000000-0005-0000-0000-00001F030000}"/>
    <cellStyle name="Normal 12 5 6 5" xfId="3046" xr:uid="{00000000-0005-0000-0000-000020030000}"/>
    <cellStyle name="Normal 12 5 7" xfId="368" xr:uid="{00000000-0005-0000-0000-000021030000}"/>
    <cellStyle name="Normal 12 5 7 2" xfId="816" xr:uid="{00000000-0005-0000-0000-000022030000}"/>
    <cellStyle name="Normal 12 5 7 2 2" xfId="1766" xr:uid="{00000000-0005-0000-0000-000023030000}"/>
    <cellStyle name="Normal 12 5 7 2 2 2" xfId="4503" xr:uid="{00000000-0005-0000-0000-000024030000}"/>
    <cellStyle name="Normal 12 5 7 2 3" xfId="2658" xr:uid="{00000000-0005-0000-0000-000025030000}"/>
    <cellStyle name="Normal 12 5 7 2 3 2" xfId="5395" xr:uid="{00000000-0005-0000-0000-000026030000}"/>
    <cellStyle name="Normal 12 5 7 2 4" xfId="3556" xr:uid="{00000000-0005-0000-0000-000027030000}"/>
    <cellStyle name="Normal 12 5 7 3" xfId="1319" xr:uid="{00000000-0005-0000-0000-000028030000}"/>
    <cellStyle name="Normal 12 5 7 3 2" xfId="4056" xr:uid="{00000000-0005-0000-0000-000029030000}"/>
    <cellStyle name="Normal 12 5 7 4" xfId="2211" xr:uid="{00000000-0005-0000-0000-00002A030000}"/>
    <cellStyle name="Normal 12 5 7 4 2" xfId="4948" xr:uid="{00000000-0005-0000-0000-00002B030000}"/>
    <cellStyle name="Normal 12 5 7 5" xfId="3109" xr:uid="{00000000-0005-0000-0000-00002C030000}"/>
    <cellStyle name="Normal 12 5 8" xfId="554" xr:uid="{00000000-0005-0000-0000-00002D030000}"/>
    <cellStyle name="Normal 12 5 8 2" xfId="1505" xr:uid="{00000000-0005-0000-0000-00002E030000}"/>
    <cellStyle name="Normal 12 5 8 2 2" xfId="4242" xr:uid="{00000000-0005-0000-0000-00002F030000}"/>
    <cellStyle name="Normal 12 5 8 3" xfId="2397" xr:uid="{00000000-0005-0000-0000-000030030000}"/>
    <cellStyle name="Normal 12 5 8 3 2" xfId="5134" xr:uid="{00000000-0005-0000-0000-000031030000}"/>
    <cellStyle name="Normal 12 5 8 4" xfId="3295" xr:uid="{00000000-0005-0000-0000-000032030000}"/>
    <cellStyle name="Normal 12 5 9" xfId="1002" xr:uid="{00000000-0005-0000-0000-000033030000}"/>
    <cellStyle name="Normal 12 5 9 2" xfId="3742" xr:uid="{00000000-0005-0000-0000-000034030000}"/>
    <cellStyle name="Normal 12 6" xfId="111" xr:uid="{00000000-0005-0000-0000-000035030000}"/>
    <cellStyle name="Normal 12 6 10" xfId="2866" xr:uid="{00000000-0005-0000-0000-000036030000}"/>
    <cellStyle name="Normal 12 6 2" xfId="159" xr:uid="{00000000-0005-0000-0000-000037030000}"/>
    <cellStyle name="Normal 12 6 2 2" xfId="272" xr:uid="{00000000-0005-0000-0000-000038030000}"/>
    <cellStyle name="Normal 12 6 2 2 2" xfId="526" xr:uid="{00000000-0005-0000-0000-000039030000}"/>
    <cellStyle name="Normal 12 6 2 2 2 2" xfId="974" xr:uid="{00000000-0005-0000-0000-00003A030000}"/>
    <cellStyle name="Normal 12 6 2 2 2 2 2" xfId="1924" xr:uid="{00000000-0005-0000-0000-00003B030000}"/>
    <cellStyle name="Normal 12 6 2 2 2 2 2 2" xfId="4661" xr:uid="{00000000-0005-0000-0000-00003C030000}"/>
    <cellStyle name="Normal 12 6 2 2 2 2 3" xfId="2816" xr:uid="{00000000-0005-0000-0000-00003D030000}"/>
    <cellStyle name="Normal 12 6 2 2 2 2 3 2" xfId="5553" xr:uid="{00000000-0005-0000-0000-00003E030000}"/>
    <cellStyle name="Normal 12 6 2 2 2 2 4" xfId="3714" xr:uid="{00000000-0005-0000-0000-00003F030000}"/>
    <cellStyle name="Normal 12 6 2 2 2 3" xfId="1477" xr:uid="{00000000-0005-0000-0000-000040030000}"/>
    <cellStyle name="Normal 12 6 2 2 2 3 2" xfId="4214" xr:uid="{00000000-0005-0000-0000-000041030000}"/>
    <cellStyle name="Normal 12 6 2 2 2 4" xfId="2369" xr:uid="{00000000-0005-0000-0000-000042030000}"/>
    <cellStyle name="Normal 12 6 2 2 2 4 2" xfId="5106" xr:uid="{00000000-0005-0000-0000-000043030000}"/>
    <cellStyle name="Normal 12 6 2 2 2 5" xfId="3267" xr:uid="{00000000-0005-0000-0000-000044030000}"/>
    <cellStyle name="Normal 12 6 2 2 3" xfId="725" xr:uid="{00000000-0005-0000-0000-000045030000}"/>
    <cellStyle name="Normal 12 6 2 2 3 2" xfId="1675" xr:uid="{00000000-0005-0000-0000-000046030000}"/>
    <cellStyle name="Normal 12 6 2 2 3 2 2" xfId="4412" xr:uid="{00000000-0005-0000-0000-000047030000}"/>
    <cellStyle name="Normal 12 6 2 2 3 3" xfId="2567" xr:uid="{00000000-0005-0000-0000-000048030000}"/>
    <cellStyle name="Normal 12 6 2 2 3 3 2" xfId="5304" xr:uid="{00000000-0005-0000-0000-000049030000}"/>
    <cellStyle name="Normal 12 6 2 2 3 4" xfId="3465" xr:uid="{00000000-0005-0000-0000-00004A030000}"/>
    <cellStyle name="Normal 12 6 2 2 4" xfId="1228" xr:uid="{00000000-0005-0000-0000-00004B030000}"/>
    <cellStyle name="Normal 12 6 2 2 4 2" xfId="3965" xr:uid="{00000000-0005-0000-0000-00004C030000}"/>
    <cellStyle name="Normal 12 6 2 2 5" xfId="2120" xr:uid="{00000000-0005-0000-0000-00004D030000}"/>
    <cellStyle name="Normal 12 6 2 2 5 2" xfId="4857" xr:uid="{00000000-0005-0000-0000-00004E030000}"/>
    <cellStyle name="Normal 12 6 2 2 6" xfId="3018" xr:uid="{00000000-0005-0000-0000-00004F030000}"/>
    <cellStyle name="Normal 12 6 2 3" xfId="415" xr:uid="{00000000-0005-0000-0000-000050030000}"/>
    <cellStyle name="Normal 12 6 2 3 2" xfId="863" xr:uid="{00000000-0005-0000-0000-000051030000}"/>
    <cellStyle name="Normal 12 6 2 3 2 2" xfId="1813" xr:uid="{00000000-0005-0000-0000-000052030000}"/>
    <cellStyle name="Normal 12 6 2 3 2 2 2" xfId="4550" xr:uid="{00000000-0005-0000-0000-000053030000}"/>
    <cellStyle name="Normal 12 6 2 3 2 3" xfId="2705" xr:uid="{00000000-0005-0000-0000-000054030000}"/>
    <cellStyle name="Normal 12 6 2 3 2 3 2" xfId="5442" xr:uid="{00000000-0005-0000-0000-000055030000}"/>
    <cellStyle name="Normal 12 6 2 3 2 4" xfId="3603" xr:uid="{00000000-0005-0000-0000-000056030000}"/>
    <cellStyle name="Normal 12 6 2 3 3" xfId="1366" xr:uid="{00000000-0005-0000-0000-000057030000}"/>
    <cellStyle name="Normal 12 6 2 3 3 2" xfId="4103" xr:uid="{00000000-0005-0000-0000-000058030000}"/>
    <cellStyle name="Normal 12 6 2 3 4" xfId="2258" xr:uid="{00000000-0005-0000-0000-000059030000}"/>
    <cellStyle name="Normal 12 6 2 3 4 2" xfId="4995" xr:uid="{00000000-0005-0000-0000-00005A030000}"/>
    <cellStyle name="Normal 12 6 2 3 5" xfId="3156" xr:uid="{00000000-0005-0000-0000-00005B030000}"/>
    <cellStyle name="Normal 12 6 2 4" xfId="624" xr:uid="{00000000-0005-0000-0000-00005C030000}"/>
    <cellStyle name="Normal 12 6 2 4 2" xfId="1574" xr:uid="{00000000-0005-0000-0000-00005D030000}"/>
    <cellStyle name="Normal 12 6 2 4 2 2" xfId="4311" xr:uid="{00000000-0005-0000-0000-00005E030000}"/>
    <cellStyle name="Normal 12 6 2 4 3" xfId="2466" xr:uid="{00000000-0005-0000-0000-00005F030000}"/>
    <cellStyle name="Normal 12 6 2 4 3 2" xfId="5203" xr:uid="{00000000-0005-0000-0000-000060030000}"/>
    <cellStyle name="Normal 12 6 2 4 4" xfId="3364" xr:uid="{00000000-0005-0000-0000-000061030000}"/>
    <cellStyle name="Normal 12 6 2 5" xfId="1117" xr:uid="{00000000-0005-0000-0000-000062030000}"/>
    <cellStyle name="Normal 12 6 2 5 2" xfId="3854" xr:uid="{00000000-0005-0000-0000-000063030000}"/>
    <cellStyle name="Normal 12 6 2 6" xfId="2009" xr:uid="{00000000-0005-0000-0000-000064030000}"/>
    <cellStyle name="Normal 12 6 2 6 2" xfId="4746" xr:uid="{00000000-0005-0000-0000-000065030000}"/>
    <cellStyle name="Normal 12 6 2 7" xfId="2907" xr:uid="{00000000-0005-0000-0000-000066030000}"/>
    <cellStyle name="Normal 12 6 3" xfId="231" xr:uid="{00000000-0005-0000-0000-000067030000}"/>
    <cellStyle name="Normal 12 6 3 2" xfId="485" xr:uid="{00000000-0005-0000-0000-000068030000}"/>
    <cellStyle name="Normal 12 6 3 2 2" xfId="933" xr:uid="{00000000-0005-0000-0000-000069030000}"/>
    <cellStyle name="Normal 12 6 3 2 2 2" xfId="1883" xr:uid="{00000000-0005-0000-0000-00006A030000}"/>
    <cellStyle name="Normal 12 6 3 2 2 2 2" xfId="4620" xr:uid="{00000000-0005-0000-0000-00006B030000}"/>
    <cellStyle name="Normal 12 6 3 2 2 3" xfId="2775" xr:uid="{00000000-0005-0000-0000-00006C030000}"/>
    <cellStyle name="Normal 12 6 3 2 2 3 2" xfId="5512" xr:uid="{00000000-0005-0000-0000-00006D030000}"/>
    <cellStyle name="Normal 12 6 3 2 2 4" xfId="3673" xr:uid="{00000000-0005-0000-0000-00006E030000}"/>
    <cellStyle name="Normal 12 6 3 2 3" xfId="1436" xr:uid="{00000000-0005-0000-0000-00006F030000}"/>
    <cellStyle name="Normal 12 6 3 2 3 2" xfId="4173" xr:uid="{00000000-0005-0000-0000-000070030000}"/>
    <cellStyle name="Normal 12 6 3 2 4" xfId="2328" xr:uid="{00000000-0005-0000-0000-000071030000}"/>
    <cellStyle name="Normal 12 6 3 2 4 2" xfId="5065" xr:uid="{00000000-0005-0000-0000-000072030000}"/>
    <cellStyle name="Normal 12 6 3 2 5" xfId="3226" xr:uid="{00000000-0005-0000-0000-000073030000}"/>
    <cellStyle name="Normal 12 6 3 3" xfId="684" xr:uid="{00000000-0005-0000-0000-000074030000}"/>
    <cellStyle name="Normal 12 6 3 3 2" xfId="1634" xr:uid="{00000000-0005-0000-0000-000075030000}"/>
    <cellStyle name="Normal 12 6 3 3 2 2" xfId="4371" xr:uid="{00000000-0005-0000-0000-000076030000}"/>
    <cellStyle name="Normal 12 6 3 3 3" xfId="2526" xr:uid="{00000000-0005-0000-0000-000077030000}"/>
    <cellStyle name="Normal 12 6 3 3 3 2" xfId="5263" xr:uid="{00000000-0005-0000-0000-000078030000}"/>
    <cellStyle name="Normal 12 6 3 3 4" xfId="3424" xr:uid="{00000000-0005-0000-0000-000079030000}"/>
    <cellStyle name="Normal 12 6 3 4" xfId="1187" xr:uid="{00000000-0005-0000-0000-00007A030000}"/>
    <cellStyle name="Normal 12 6 3 4 2" xfId="3924" xr:uid="{00000000-0005-0000-0000-00007B030000}"/>
    <cellStyle name="Normal 12 6 3 5" xfId="2079" xr:uid="{00000000-0005-0000-0000-00007C030000}"/>
    <cellStyle name="Normal 12 6 3 5 2" xfId="4816" xr:uid="{00000000-0005-0000-0000-00007D030000}"/>
    <cellStyle name="Normal 12 6 3 6" xfId="2977" xr:uid="{00000000-0005-0000-0000-00007E030000}"/>
    <cellStyle name="Normal 12 6 4" xfId="324" xr:uid="{00000000-0005-0000-0000-00007F030000}"/>
    <cellStyle name="Normal 12 6 4 2" xfId="777" xr:uid="{00000000-0005-0000-0000-000080030000}"/>
    <cellStyle name="Normal 12 6 4 2 2" xfId="1727" xr:uid="{00000000-0005-0000-0000-000081030000}"/>
    <cellStyle name="Normal 12 6 4 2 2 2" xfId="4464" xr:uid="{00000000-0005-0000-0000-000082030000}"/>
    <cellStyle name="Normal 12 6 4 2 3" xfId="2619" xr:uid="{00000000-0005-0000-0000-000083030000}"/>
    <cellStyle name="Normal 12 6 4 2 3 2" xfId="5356" xr:uid="{00000000-0005-0000-0000-000084030000}"/>
    <cellStyle name="Normal 12 6 4 2 4" xfId="3517" xr:uid="{00000000-0005-0000-0000-000085030000}"/>
    <cellStyle name="Normal 12 6 4 3" xfId="1280" xr:uid="{00000000-0005-0000-0000-000086030000}"/>
    <cellStyle name="Normal 12 6 4 3 2" xfId="4017" xr:uid="{00000000-0005-0000-0000-000087030000}"/>
    <cellStyle name="Normal 12 6 4 4" xfId="2172" xr:uid="{00000000-0005-0000-0000-000088030000}"/>
    <cellStyle name="Normal 12 6 4 4 2" xfId="4909" xr:uid="{00000000-0005-0000-0000-000089030000}"/>
    <cellStyle name="Normal 12 6 4 5" xfId="3070" xr:uid="{00000000-0005-0000-0000-00008A030000}"/>
    <cellStyle name="Normal 12 6 5" xfId="374" xr:uid="{00000000-0005-0000-0000-00008B030000}"/>
    <cellStyle name="Normal 12 6 5 2" xfId="822" xr:uid="{00000000-0005-0000-0000-00008C030000}"/>
    <cellStyle name="Normal 12 6 5 2 2" xfId="1772" xr:uid="{00000000-0005-0000-0000-00008D030000}"/>
    <cellStyle name="Normal 12 6 5 2 2 2" xfId="4509" xr:uid="{00000000-0005-0000-0000-00008E030000}"/>
    <cellStyle name="Normal 12 6 5 2 3" xfId="2664" xr:uid="{00000000-0005-0000-0000-00008F030000}"/>
    <cellStyle name="Normal 12 6 5 2 3 2" xfId="5401" xr:uid="{00000000-0005-0000-0000-000090030000}"/>
    <cellStyle name="Normal 12 6 5 2 4" xfId="3562" xr:uid="{00000000-0005-0000-0000-000091030000}"/>
    <cellStyle name="Normal 12 6 5 3" xfId="1325" xr:uid="{00000000-0005-0000-0000-000092030000}"/>
    <cellStyle name="Normal 12 6 5 3 2" xfId="4062" xr:uid="{00000000-0005-0000-0000-000093030000}"/>
    <cellStyle name="Normal 12 6 5 4" xfId="2217" xr:uid="{00000000-0005-0000-0000-000094030000}"/>
    <cellStyle name="Normal 12 6 5 4 2" xfId="4954" xr:uid="{00000000-0005-0000-0000-000095030000}"/>
    <cellStyle name="Normal 12 6 5 5" xfId="3115" xr:uid="{00000000-0005-0000-0000-000096030000}"/>
    <cellStyle name="Normal 12 6 6" xfId="579" xr:uid="{00000000-0005-0000-0000-000097030000}"/>
    <cellStyle name="Normal 12 6 6 2" xfId="1529" xr:uid="{00000000-0005-0000-0000-000098030000}"/>
    <cellStyle name="Normal 12 6 6 2 2" xfId="4266" xr:uid="{00000000-0005-0000-0000-000099030000}"/>
    <cellStyle name="Normal 12 6 6 3" xfId="2421" xr:uid="{00000000-0005-0000-0000-00009A030000}"/>
    <cellStyle name="Normal 12 6 6 3 2" xfId="5158" xr:uid="{00000000-0005-0000-0000-00009B030000}"/>
    <cellStyle name="Normal 12 6 6 4" xfId="3319" xr:uid="{00000000-0005-0000-0000-00009C030000}"/>
    <cellStyle name="Normal 12 6 7" xfId="1027" xr:uid="{00000000-0005-0000-0000-00009D030000}"/>
    <cellStyle name="Normal 12 6 7 2" xfId="3766" xr:uid="{00000000-0005-0000-0000-00009E030000}"/>
    <cellStyle name="Normal 12 6 8" xfId="1076" xr:uid="{00000000-0005-0000-0000-00009F030000}"/>
    <cellStyle name="Normal 12 6 8 2" xfId="3813" xr:uid="{00000000-0005-0000-0000-0000A0030000}"/>
    <cellStyle name="Normal 12 6 9" xfId="1968" xr:uid="{00000000-0005-0000-0000-0000A1030000}"/>
    <cellStyle name="Normal 12 6 9 2" xfId="4705" xr:uid="{00000000-0005-0000-0000-0000A2030000}"/>
    <cellStyle name="Normal 12 7" xfId="141" xr:uid="{00000000-0005-0000-0000-0000A3030000}"/>
    <cellStyle name="Normal 12 7 2" xfId="254" xr:uid="{00000000-0005-0000-0000-0000A4030000}"/>
    <cellStyle name="Normal 12 7 2 2" xfId="508" xr:uid="{00000000-0005-0000-0000-0000A5030000}"/>
    <cellStyle name="Normal 12 7 2 2 2" xfId="956" xr:uid="{00000000-0005-0000-0000-0000A6030000}"/>
    <cellStyle name="Normal 12 7 2 2 2 2" xfId="1906" xr:uid="{00000000-0005-0000-0000-0000A7030000}"/>
    <cellStyle name="Normal 12 7 2 2 2 2 2" xfId="4643" xr:uid="{00000000-0005-0000-0000-0000A8030000}"/>
    <cellStyle name="Normal 12 7 2 2 2 3" xfId="2798" xr:uid="{00000000-0005-0000-0000-0000A9030000}"/>
    <cellStyle name="Normal 12 7 2 2 2 3 2" xfId="5535" xr:uid="{00000000-0005-0000-0000-0000AA030000}"/>
    <cellStyle name="Normal 12 7 2 2 2 4" xfId="3696" xr:uid="{00000000-0005-0000-0000-0000AB030000}"/>
    <cellStyle name="Normal 12 7 2 2 3" xfId="1459" xr:uid="{00000000-0005-0000-0000-0000AC030000}"/>
    <cellStyle name="Normal 12 7 2 2 3 2" xfId="4196" xr:uid="{00000000-0005-0000-0000-0000AD030000}"/>
    <cellStyle name="Normal 12 7 2 2 4" xfId="2351" xr:uid="{00000000-0005-0000-0000-0000AE030000}"/>
    <cellStyle name="Normal 12 7 2 2 4 2" xfId="5088" xr:uid="{00000000-0005-0000-0000-0000AF030000}"/>
    <cellStyle name="Normal 12 7 2 2 5" xfId="3249" xr:uid="{00000000-0005-0000-0000-0000B0030000}"/>
    <cellStyle name="Normal 12 7 2 3" xfId="707" xr:uid="{00000000-0005-0000-0000-0000B1030000}"/>
    <cellStyle name="Normal 12 7 2 3 2" xfId="1657" xr:uid="{00000000-0005-0000-0000-0000B2030000}"/>
    <cellStyle name="Normal 12 7 2 3 2 2" xfId="4394" xr:uid="{00000000-0005-0000-0000-0000B3030000}"/>
    <cellStyle name="Normal 12 7 2 3 3" xfId="2549" xr:uid="{00000000-0005-0000-0000-0000B4030000}"/>
    <cellStyle name="Normal 12 7 2 3 3 2" xfId="5286" xr:uid="{00000000-0005-0000-0000-0000B5030000}"/>
    <cellStyle name="Normal 12 7 2 3 4" xfId="3447" xr:uid="{00000000-0005-0000-0000-0000B6030000}"/>
    <cellStyle name="Normal 12 7 2 4" xfId="1210" xr:uid="{00000000-0005-0000-0000-0000B7030000}"/>
    <cellStyle name="Normal 12 7 2 4 2" xfId="3947" xr:uid="{00000000-0005-0000-0000-0000B8030000}"/>
    <cellStyle name="Normal 12 7 2 5" xfId="2102" xr:uid="{00000000-0005-0000-0000-0000B9030000}"/>
    <cellStyle name="Normal 12 7 2 5 2" xfId="4839" xr:uid="{00000000-0005-0000-0000-0000BA030000}"/>
    <cellStyle name="Normal 12 7 2 6" xfId="3000" xr:uid="{00000000-0005-0000-0000-0000BB030000}"/>
    <cellStyle name="Normal 12 7 3" xfId="397" xr:uid="{00000000-0005-0000-0000-0000BC030000}"/>
    <cellStyle name="Normal 12 7 3 2" xfId="845" xr:uid="{00000000-0005-0000-0000-0000BD030000}"/>
    <cellStyle name="Normal 12 7 3 2 2" xfId="1795" xr:uid="{00000000-0005-0000-0000-0000BE030000}"/>
    <cellStyle name="Normal 12 7 3 2 2 2" xfId="4532" xr:uid="{00000000-0005-0000-0000-0000BF030000}"/>
    <cellStyle name="Normal 12 7 3 2 3" xfId="2687" xr:uid="{00000000-0005-0000-0000-0000C0030000}"/>
    <cellStyle name="Normal 12 7 3 2 3 2" xfId="5424" xr:uid="{00000000-0005-0000-0000-0000C1030000}"/>
    <cellStyle name="Normal 12 7 3 2 4" xfId="3585" xr:uid="{00000000-0005-0000-0000-0000C2030000}"/>
    <cellStyle name="Normal 12 7 3 3" xfId="1348" xr:uid="{00000000-0005-0000-0000-0000C3030000}"/>
    <cellStyle name="Normal 12 7 3 3 2" xfId="4085" xr:uid="{00000000-0005-0000-0000-0000C4030000}"/>
    <cellStyle name="Normal 12 7 3 4" xfId="2240" xr:uid="{00000000-0005-0000-0000-0000C5030000}"/>
    <cellStyle name="Normal 12 7 3 4 2" xfId="4977" xr:uid="{00000000-0005-0000-0000-0000C6030000}"/>
    <cellStyle name="Normal 12 7 3 5" xfId="3138" xr:uid="{00000000-0005-0000-0000-0000C7030000}"/>
    <cellStyle name="Normal 12 7 4" xfId="606" xr:uid="{00000000-0005-0000-0000-0000C8030000}"/>
    <cellStyle name="Normal 12 7 4 2" xfId="1556" xr:uid="{00000000-0005-0000-0000-0000C9030000}"/>
    <cellStyle name="Normal 12 7 4 2 2" xfId="4293" xr:uid="{00000000-0005-0000-0000-0000CA030000}"/>
    <cellStyle name="Normal 12 7 4 3" xfId="2448" xr:uid="{00000000-0005-0000-0000-0000CB030000}"/>
    <cellStyle name="Normal 12 7 4 3 2" xfId="5185" xr:uid="{00000000-0005-0000-0000-0000CC030000}"/>
    <cellStyle name="Normal 12 7 4 4" xfId="3346" xr:uid="{00000000-0005-0000-0000-0000CD030000}"/>
    <cellStyle name="Normal 12 7 5" xfId="1099" xr:uid="{00000000-0005-0000-0000-0000CE030000}"/>
    <cellStyle name="Normal 12 7 5 2" xfId="3836" xr:uid="{00000000-0005-0000-0000-0000CF030000}"/>
    <cellStyle name="Normal 12 7 6" xfId="1991" xr:uid="{00000000-0005-0000-0000-0000D0030000}"/>
    <cellStyle name="Normal 12 7 6 2" xfId="4728" xr:uid="{00000000-0005-0000-0000-0000D1030000}"/>
    <cellStyle name="Normal 12 7 7" xfId="2889" xr:uid="{00000000-0005-0000-0000-0000D2030000}"/>
    <cellStyle name="Normal 12 8" xfId="185" xr:uid="{00000000-0005-0000-0000-0000D3030000}"/>
    <cellStyle name="Normal 12 8 2" xfId="440" xr:uid="{00000000-0005-0000-0000-0000D4030000}"/>
    <cellStyle name="Normal 12 8 2 2" xfId="888" xr:uid="{00000000-0005-0000-0000-0000D5030000}"/>
    <cellStyle name="Normal 12 8 2 2 2" xfId="1838" xr:uid="{00000000-0005-0000-0000-0000D6030000}"/>
    <cellStyle name="Normal 12 8 2 2 2 2" xfId="4575" xr:uid="{00000000-0005-0000-0000-0000D7030000}"/>
    <cellStyle name="Normal 12 8 2 2 3" xfId="2730" xr:uid="{00000000-0005-0000-0000-0000D8030000}"/>
    <cellStyle name="Normal 12 8 2 2 3 2" xfId="5467" xr:uid="{00000000-0005-0000-0000-0000D9030000}"/>
    <cellStyle name="Normal 12 8 2 2 4" xfId="3628" xr:uid="{00000000-0005-0000-0000-0000DA030000}"/>
    <cellStyle name="Normal 12 8 2 3" xfId="1391" xr:uid="{00000000-0005-0000-0000-0000DB030000}"/>
    <cellStyle name="Normal 12 8 2 3 2" xfId="4128" xr:uid="{00000000-0005-0000-0000-0000DC030000}"/>
    <cellStyle name="Normal 12 8 2 4" xfId="2283" xr:uid="{00000000-0005-0000-0000-0000DD030000}"/>
    <cellStyle name="Normal 12 8 2 4 2" xfId="5020" xr:uid="{00000000-0005-0000-0000-0000DE030000}"/>
    <cellStyle name="Normal 12 8 2 5" xfId="3181" xr:uid="{00000000-0005-0000-0000-0000DF030000}"/>
    <cellStyle name="Normal 12 8 3" xfId="643" xr:uid="{00000000-0005-0000-0000-0000E0030000}"/>
    <cellStyle name="Normal 12 8 3 2" xfId="1593" xr:uid="{00000000-0005-0000-0000-0000E1030000}"/>
    <cellStyle name="Normal 12 8 3 2 2" xfId="4330" xr:uid="{00000000-0005-0000-0000-0000E2030000}"/>
    <cellStyle name="Normal 12 8 3 3" xfId="2485" xr:uid="{00000000-0005-0000-0000-0000E3030000}"/>
    <cellStyle name="Normal 12 8 3 3 2" xfId="5222" xr:uid="{00000000-0005-0000-0000-0000E4030000}"/>
    <cellStyle name="Normal 12 8 3 4" xfId="3383" xr:uid="{00000000-0005-0000-0000-0000E5030000}"/>
    <cellStyle name="Normal 12 8 4" xfId="1142" xr:uid="{00000000-0005-0000-0000-0000E6030000}"/>
    <cellStyle name="Normal 12 8 4 2" xfId="3879" xr:uid="{00000000-0005-0000-0000-0000E7030000}"/>
    <cellStyle name="Normal 12 8 5" xfId="2034" xr:uid="{00000000-0005-0000-0000-0000E8030000}"/>
    <cellStyle name="Normal 12 8 5 2" xfId="4771" xr:uid="{00000000-0005-0000-0000-0000E9030000}"/>
    <cellStyle name="Normal 12 8 6" xfId="2932" xr:uid="{00000000-0005-0000-0000-0000EA030000}"/>
    <cellStyle name="Normal 12 9" xfId="213" xr:uid="{00000000-0005-0000-0000-0000EB030000}"/>
    <cellStyle name="Normal 12 9 2" xfId="467" xr:uid="{00000000-0005-0000-0000-0000EC030000}"/>
    <cellStyle name="Normal 12 9 2 2" xfId="915" xr:uid="{00000000-0005-0000-0000-0000ED030000}"/>
    <cellStyle name="Normal 12 9 2 2 2" xfId="1865" xr:uid="{00000000-0005-0000-0000-0000EE030000}"/>
    <cellStyle name="Normal 12 9 2 2 2 2" xfId="4602" xr:uid="{00000000-0005-0000-0000-0000EF030000}"/>
    <cellStyle name="Normal 12 9 2 2 3" xfId="2757" xr:uid="{00000000-0005-0000-0000-0000F0030000}"/>
    <cellStyle name="Normal 12 9 2 2 3 2" xfId="5494" xr:uid="{00000000-0005-0000-0000-0000F1030000}"/>
    <cellStyle name="Normal 12 9 2 2 4" xfId="3655" xr:uid="{00000000-0005-0000-0000-0000F2030000}"/>
    <cellStyle name="Normal 12 9 2 3" xfId="1418" xr:uid="{00000000-0005-0000-0000-0000F3030000}"/>
    <cellStyle name="Normal 12 9 2 3 2" xfId="4155" xr:uid="{00000000-0005-0000-0000-0000F4030000}"/>
    <cellStyle name="Normal 12 9 2 4" xfId="2310" xr:uid="{00000000-0005-0000-0000-0000F5030000}"/>
    <cellStyle name="Normal 12 9 2 4 2" xfId="5047" xr:uid="{00000000-0005-0000-0000-0000F6030000}"/>
    <cellStyle name="Normal 12 9 2 5" xfId="3208" xr:uid="{00000000-0005-0000-0000-0000F7030000}"/>
    <cellStyle name="Normal 12 9 3" xfId="666" xr:uid="{00000000-0005-0000-0000-0000F8030000}"/>
    <cellStyle name="Normal 12 9 3 2" xfId="1616" xr:uid="{00000000-0005-0000-0000-0000F9030000}"/>
    <cellStyle name="Normal 12 9 3 2 2" xfId="4353" xr:uid="{00000000-0005-0000-0000-0000FA030000}"/>
    <cellStyle name="Normal 12 9 3 3" xfId="2508" xr:uid="{00000000-0005-0000-0000-0000FB030000}"/>
    <cellStyle name="Normal 12 9 3 3 2" xfId="5245" xr:uid="{00000000-0005-0000-0000-0000FC030000}"/>
    <cellStyle name="Normal 12 9 3 4" xfId="3406" xr:uid="{00000000-0005-0000-0000-0000FD030000}"/>
    <cellStyle name="Normal 12 9 4" xfId="1169" xr:uid="{00000000-0005-0000-0000-0000FE030000}"/>
    <cellStyle name="Normal 12 9 4 2" xfId="3906" xr:uid="{00000000-0005-0000-0000-0000FF030000}"/>
    <cellStyle name="Normal 12 9 5" xfId="2061" xr:uid="{00000000-0005-0000-0000-000000040000}"/>
    <cellStyle name="Normal 12 9 5 2" xfId="4798" xr:uid="{00000000-0005-0000-0000-000001040000}"/>
    <cellStyle name="Normal 12 9 6" xfId="2959" xr:uid="{00000000-0005-0000-0000-000002040000}"/>
    <cellStyle name="Normal 13" xfId="47" xr:uid="{00000000-0005-0000-0000-000003040000}"/>
    <cellStyle name="Normal 14" xfId="48" xr:uid="{00000000-0005-0000-0000-000004040000}"/>
    <cellStyle name="Normal 15" xfId="49" xr:uid="{00000000-0005-0000-0000-000005040000}"/>
    <cellStyle name="Normal 16" xfId="50" xr:uid="{00000000-0005-0000-0000-000006040000}"/>
    <cellStyle name="Normal 17" xfId="51" xr:uid="{00000000-0005-0000-0000-000007040000}"/>
    <cellStyle name="Normal 18" xfId="52" xr:uid="{00000000-0005-0000-0000-000008040000}"/>
    <cellStyle name="Normal 19" xfId="95" xr:uid="{00000000-0005-0000-0000-000009040000}"/>
    <cellStyle name="Normal 2" xfId="5" xr:uid="{00000000-0005-0000-0000-00000A040000}"/>
    <cellStyle name="Normal 2 10" xfId="54" xr:uid="{00000000-0005-0000-0000-00000B040000}"/>
    <cellStyle name="Normal 2 11" xfId="55" xr:uid="{00000000-0005-0000-0000-00000C040000}"/>
    <cellStyle name="Normal 2 12" xfId="53" xr:uid="{00000000-0005-0000-0000-00000D040000}"/>
    <cellStyle name="Normal 2 12 10" xfId="1059" xr:uid="{00000000-0005-0000-0000-00000E040000}"/>
    <cellStyle name="Normal 2 12 10 2" xfId="3796" xr:uid="{00000000-0005-0000-0000-00000F040000}"/>
    <cellStyle name="Normal 2 12 11" xfId="1951" xr:uid="{00000000-0005-0000-0000-000010040000}"/>
    <cellStyle name="Normal 2 12 11 2" xfId="4688" xr:uid="{00000000-0005-0000-0000-000011040000}"/>
    <cellStyle name="Normal 2 12 12" xfId="2849" xr:uid="{00000000-0005-0000-0000-000012040000}"/>
    <cellStyle name="Normal 2 12 2" xfId="116" xr:uid="{00000000-0005-0000-0000-000013040000}"/>
    <cellStyle name="Normal 2 12 2 10" xfId="2871" xr:uid="{00000000-0005-0000-0000-000014040000}"/>
    <cellStyle name="Normal 2 12 2 2" xfId="164" xr:uid="{00000000-0005-0000-0000-000015040000}"/>
    <cellStyle name="Normal 2 12 2 2 2" xfId="277" xr:uid="{00000000-0005-0000-0000-000016040000}"/>
    <cellStyle name="Normal 2 12 2 2 2 2" xfId="531" xr:uid="{00000000-0005-0000-0000-000017040000}"/>
    <cellStyle name="Normal 2 12 2 2 2 2 2" xfId="979" xr:uid="{00000000-0005-0000-0000-000018040000}"/>
    <cellStyle name="Normal 2 12 2 2 2 2 2 2" xfId="1929" xr:uid="{00000000-0005-0000-0000-000019040000}"/>
    <cellStyle name="Normal 2 12 2 2 2 2 2 2 2" xfId="4666" xr:uid="{00000000-0005-0000-0000-00001A040000}"/>
    <cellStyle name="Normal 2 12 2 2 2 2 2 3" xfId="2821" xr:uid="{00000000-0005-0000-0000-00001B040000}"/>
    <cellStyle name="Normal 2 12 2 2 2 2 2 3 2" xfId="5558" xr:uid="{00000000-0005-0000-0000-00001C040000}"/>
    <cellStyle name="Normal 2 12 2 2 2 2 2 4" xfId="3719" xr:uid="{00000000-0005-0000-0000-00001D040000}"/>
    <cellStyle name="Normal 2 12 2 2 2 2 3" xfId="1482" xr:uid="{00000000-0005-0000-0000-00001E040000}"/>
    <cellStyle name="Normal 2 12 2 2 2 2 3 2" xfId="4219" xr:uid="{00000000-0005-0000-0000-00001F040000}"/>
    <cellStyle name="Normal 2 12 2 2 2 2 4" xfId="2374" xr:uid="{00000000-0005-0000-0000-000020040000}"/>
    <cellStyle name="Normal 2 12 2 2 2 2 4 2" xfId="5111" xr:uid="{00000000-0005-0000-0000-000021040000}"/>
    <cellStyle name="Normal 2 12 2 2 2 2 5" xfId="3272" xr:uid="{00000000-0005-0000-0000-000022040000}"/>
    <cellStyle name="Normal 2 12 2 2 2 3" xfId="730" xr:uid="{00000000-0005-0000-0000-000023040000}"/>
    <cellStyle name="Normal 2 12 2 2 2 3 2" xfId="1680" xr:uid="{00000000-0005-0000-0000-000024040000}"/>
    <cellStyle name="Normal 2 12 2 2 2 3 2 2" xfId="4417" xr:uid="{00000000-0005-0000-0000-000025040000}"/>
    <cellStyle name="Normal 2 12 2 2 2 3 3" xfId="2572" xr:uid="{00000000-0005-0000-0000-000026040000}"/>
    <cellStyle name="Normal 2 12 2 2 2 3 3 2" xfId="5309" xr:uid="{00000000-0005-0000-0000-000027040000}"/>
    <cellStyle name="Normal 2 12 2 2 2 3 4" xfId="3470" xr:uid="{00000000-0005-0000-0000-000028040000}"/>
    <cellStyle name="Normal 2 12 2 2 2 4" xfId="1233" xr:uid="{00000000-0005-0000-0000-000029040000}"/>
    <cellStyle name="Normal 2 12 2 2 2 4 2" xfId="3970" xr:uid="{00000000-0005-0000-0000-00002A040000}"/>
    <cellStyle name="Normal 2 12 2 2 2 5" xfId="2125" xr:uid="{00000000-0005-0000-0000-00002B040000}"/>
    <cellStyle name="Normal 2 12 2 2 2 5 2" xfId="4862" xr:uid="{00000000-0005-0000-0000-00002C040000}"/>
    <cellStyle name="Normal 2 12 2 2 2 6" xfId="3023" xr:uid="{00000000-0005-0000-0000-00002D040000}"/>
    <cellStyle name="Normal 2 12 2 2 3" xfId="420" xr:uid="{00000000-0005-0000-0000-00002E040000}"/>
    <cellStyle name="Normal 2 12 2 2 3 2" xfId="868" xr:uid="{00000000-0005-0000-0000-00002F040000}"/>
    <cellStyle name="Normal 2 12 2 2 3 2 2" xfId="1818" xr:uid="{00000000-0005-0000-0000-000030040000}"/>
    <cellStyle name="Normal 2 12 2 2 3 2 2 2" xfId="4555" xr:uid="{00000000-0005-0000-0000-000031040000}"/>
    <cellStyle name="Normal 2 12 2 2 3 2 3" xfId="2710" xr:uid="{00000000-0005-0000-0000-000032040000}"/>
    <cellStyle name="Normal 2 12 2 2 3 2 3 2" xfId="5447" xr:uid="{00000000-0005-0000-0000-000033040000}"/>
    <cellStyle name="Normal 2 12 2 2 3 2 4" xfId="3608" xr:uid="{00000000-0005-0000-0000-000034040000}"/>
    <cellStyle name="Normal 2 12 2 2 3 3" xfId="1371" xr:uid="{00000000-0005-0000-0000-000035040000}"/>
    <cellStyle name="Normal 2 12 2 2 3 3 2" xfId="4108" xr:uid="{00000000-0005-0000-0000-000036040000}"/>
    <cellStyle name="Normal 2 12 2 2 3 4" xfId="2263" xr:uid="{00000000-0005-0000-0000-000037040000}"/>
    <cellStyle name="Normal 2 12 2 2 3 4 2" xfId="5000" xr:uid="{00000000-0005-0000-0000-000038040000}"/>
    <cellStyle name="Normal 2 12 2 2 3 5" xfId="3161" xr:uid="{00000000-0005-0000-0000-000039040000}"/>
    <cellStyle name="Normal 2 12 2 2 4" xfId="629" xr:uid="{00000000-0005-0000-0000-00003A040000}"/>
    <cellStyle name="Normal 2 12 2 2 4 2" xfId="1579" xr:uid="{00000000-0005-0000-0000-00003B040000}"/>
    <cellStyle name="Normal 2 12 2 2 4 2 2" xfId="4316" xr:uid="{00000000-0005-0000-0000-00003C040000}"/>
    <cellStyle name="Normal 2 12 2 2 4 3" xfId="2471" xr:uid="{00000000-0005-0000-0000-00003D040000}"/>
    <cellStyle name="Normal 2 12 2 2 4 3 2" xfId="5208" xr:uid="{00000000-0005-0000-0000-00003E040000}"/>
    <cellStyle name="Normal 2 12 2 2 4 4" xfId="3369" xr:uid="{00000000-0005-0000-0000-00003F040000}"/>
    <cellStyle name="Normal 2 12 2 2 5" xfId="1122" xr:uid="{00000000-0005-0000-0000-000040040000}"/>
    <cellStyle name="Normal 2 12 2 2 5 2" xfId="3859" xr:uid="{00000000-0005-0000-0000-000041040000}"/>
    <cellStyle name="Normal 2 12 2 2 6" xfId="2014" xr:uid="{00000000-0005-0000-0000-000042040000}"/>
    <cellStyle name="Normal 2 12 2 2 6 2" xfId="4751" xr:uid="{00000000-0005-0000-0000-000043040000}"/>
    <cellStyle name="Normal 2 12 2 2 7" xfId="2912" xr:uid="{00000000-0005-0000-0000-000044040000}"/>
    <cellStyle name="Normal 2 12 2 3" xfId="236" xr:uid="{00000000-0005-0000-0000-000045040000}"/>
    <cellStyle name="Normal 2 12 2 3 2" xfId="490" xr:uid="{00000000-0005-0000-0000-000046040000}"/>
    <cellStyle name="Normal 2 12 2 3 2 2" xfId="938" xr:uid="{00000000-0005-0000-0000-000047040000}"/>
    <cellStyle name="Normal 2 12 2 3 2 2 2" xfId="1888" xr:uid="{00000000-0005-0000-0000-000048040000}"/>
    <cellStyle name="Normal 2 12 2 3 2 2 2 2" xfId="4625" xr:uid="{00000000-0005-0000-0000-000049040000}"/>
    <cellStyle name="Normal 2 12 2 3 2 2 3" xfId="2780" xr:uid="{00000000-0005-0000-0000-00004A040000}"/>
    <cellStyle name="Normal 2 12 2 3 2 2 3 2" xfId="5517" xr:uid="{00000000-0005-0000-0000-00004B040000}"/>
    <cellStyle name="Normal 2 12 2 3 2 2 4" xfId="3678" xr:uid="{00000000-0005-0000-0000-00004C040000}"/>
    <cellStyle name="Normal 2 12 2 3 2 3" xfId="1441" xr:uid="{00000000-0005-0000-0000-00004D040000}"/>
    <cellStyle name="Normal 2 12 2 3 2 3 2" xfId="4178" xr:uid="{00000000-0005-0000-0000-00004E040000}"/>
    <cellStyle name="Normal 2 12 2 3 2 4" xfId="2333" xr:uid="{00000000-0005-0000-0000-00004F040000}"/>
    <cellStyle name="Normal 2 12 2 3 2 4 2" xfId="5070" xr:uid="{00000000-0005-0000-0000-000050040000}"/>
    <cellStyle name="Normal 2 12 2 3 2 5" xfId="3231" xr:uid="{00000000-0005-0000-0000-000051040000}"/>
    <cellStyle name="Normal 2 12 2 3 3" xfId="689" xr:uid="{00000000-0005-0000-0000-000052040000}"/>
    <cellStyle name="Normal 2 12 2 3 3 2" xfId="1639" xr:uid="{00000000-0005-0000-0000-000053040000}"/>
    <cellStyle name="Normal 2 12 2 3 3 2 2" xfId="4376" xr:uid="{00000000-0005-0000-0000-000054040000}"/>
    <cellStyle name="Normal 2 12 2 3 3 3" xfId="2531" xr:uid="{00000000-0005-0000-0000-000055040000}"/>
    <cellStyle name="Normal 2 12 2 3 3 3 2" xfId="5268" xr:uid="{00000000-0005-0000-0000-000056040000}"/>
    <cellStyle name="Normal 2 12 2 3 3 4" xfId="3429" xr:uid="{00000000-0005-0000-0000-000057040000}"/>
    <cellStyle name="Normal 2 12 2 3 4" xfId="1192" xr:uid="{00000000-0005-0000-0000-000058040000}"/>
    <cellStyle name="Normal 2 12 2 3 4 2" xfId="3929" xr:uid="{00000000-0005-0000-0000-000059040000}"/>
    <cellStyle name="Normal 2 12 2 3 5" xfId="2084" xr:uid="{00000000-0005-0000-0000-00005A040000}"/>
    <cellStyle name="Normal 2 12 2 3 5 2" xfId="4821" xr:uid="{00000000-0005-0000-0000-00005B040000}"/>
    <cellStyle name="Normal 2 12 2 3 6" xfId="2982" xr:uid="{00000000-0005-0000-0000-00005C040000}"/>
    <cellStyle name="Normal 2 12 2 4" xfId="329" xr:uid="{00000000-0005-0000-0000-00005D040000}"/>
    <cellStyle name="Normal 2 12 2 4 2" xfId="782" xr:uid="{00000000-0005-0000-0000-00005E040000}"/>
    <cellStyle name="Normal 2 12 2 4 2 2" xfId="1732" xr:uid="{00000000-0005-0000-0000-00005F040000}"/>
    <cellStyle name="Normal 2 12 2 4 2 2 2" xfId="4469" xr:uid="{00000000-0005-0000-0000-000060040000}"/>
    <cellStyle name="Normal 2 12 2 4 2 3" xfId="2624" xr:uid="{00000000-0005-0000-0000-000061040000}"/>
    <cellStyle name="Normal 2 12 2 4 2 3 2" xfId="5361" xr:uid="{00000000-0005-0000-0000-000062040000}"/>
    <cellStyle name="Normal 2 12 2 4 2 4" xfId="3522" xr:uid="{00000000-0005-0000-0000-000063040000}"/>
    <cellStyle name="Normal 2 12 2 4 3" xfId="1285" xr:uid="{00000000-0005-0000-0000-000064040000}"/>
    <cellStyle name="Normal 2 12 2 4 3 2" xfId="4022" xr:uid="{00000000-0005-0000-0000-000065040000}"/>
    <cellStyle name="Normal 2 12 2 4 4" xfId="2177" xr:uid="{00000000-0005-0000-0000-000066040000}"/>
    <cellStyle name="Normal 2 12 2 4 4 2" xfId="4914" xr:uid="{00000000-0005-0000-0000-000067040000}"/>
    <cellStyle name="Normal 2 12 2 4 5" xfId="3075" xr:uid="{00000000-0005-0000-0000-000068040000}"/>
    <cellStyle name="Normal 2 12 2 5" xfId="379" xr:uid="{00000000-0005-0000-0000-000069040000}"/>
    <cellStyle name="Normal 2 12 2 5 2" xfId="827" xr:uid="{00000000-0005-0000-0000-00006A040000}"/>
    <cellStyle name="Normal 2 12 2 5 2 2" xfId="1777" xr:uid="{00000000-0005-0000-0000-00006B040000}"/>
    <cellStyle name="Normal 2 12 2 5 2 2 2" xfId="4514" xr:uid="{00000000-0005-0000-0000-00006C040000}"/>
    <cellStyle name="Normal 2 12 2 5 2 3" xfId="2669" xr:uid="{00000000-0005-0000-0000-00006D040000}"/>
    <cellStyle name="Normal 2 12 2 5 2 3 2" xfId="5406" xr:uid="{00000000-0005-0000-0000-00006E040000}"/>
    <cellStyle name="Normal 2 12 2 5 2 4" xfId="3567" xr:uid="{00000000-0005-0000-0000-00006F040000}"/>
    <cellStyle name="Normal 2 12 2 5 3" xfId="1330" xr:uid="{00000000-0005-0000-0000-000070040000}"/>
    <cellStyle name="Normal 2 12 2 5 3 2" xfId="4067" xr:uid="{00000000-0005-0000-0000-000071040000}"/>
    <cellStyle name="Normal 2 12 2 5 4" xfId="2222" xr:uid="{00000000-0005-0000-0000-000072040000}"/>
    <cellStyle name="Normal 2 12 2 5 4 2" xfId="4959" xr:uid="{00000000-0005-0000-0000-000073040000}"/>
    <cellStyle name="Normal 2 12 2 5 5" xfId="3120" xr:uid="{00000000-0005-0000-0000-000074040000}"/>
    <cellStyle name="Normal 2 12 2 6" xfId="584" xr:uid="{00000000-0005-0000-0000-000075040000}"/>
    <cellStyle name="Normal 2 12 2 6 2" xfId="1534" xr:uid="{00000000-0005-0000-0000-000076040000}"/>
    <cellStyle name="Normal 2 12 2 6 2 2" xfId="4271" xr:uid="{00000000-0005-0000-0000-000077040000}"/>
    <cellStyle name="Normal 2 12 2 6 3" xfId="2426" xr:uid="{00000000-0005-0000-0000-000078040000}"/>
    <cellStyle name="Normal 2 12 2 6 3 2" xfId="5163" xr:uid="{00000000-0005-0000-0000-000079040000}"/>
    <cellStyle name="Normal 2 12 2 6 4" xfId="3324" xr:uid="{00000000-0005-0000-0000-00007A040000}"/>
    <cellStyle name="Normal 2 12 2 7" xfId="1032" xr:uid="{00000000-0005-0000-0000-00007B040000}"/>
    <cellStyle name="Normal 2 12 2 7 2" xfId="3771" xr:uid="{00000000-0005-0000-0000-00007C040000}"/>
    <cellStyle name="Normal 2 12 2 8" xfId="1081" xr:uid="{00000000-0005-0000-0000-00007D040000}"/>
    <cellStyle name="Normal 2 12 2 8 2" xfId="3818" xr:uid="{00000000-0005-0000-0000-00007E040000}"/>
    <cellStyle name="Normal 2 12 2 9" xfId="1973" xr:uid="{00000000-0005-0000-0000-00007F040000}"/>
    <cellStyle name="Normal 2 12 2 9 2" xfId="4710" xr:uid="{00000000-0005-0000-0000-000080040000}"/>
    <cellStyle name="Normal 2 12 3" xfId="142" xr:uid="{00000000-0005-0000-0000-000081040000}"/>
    <cellStyle name="Normal 2 12 3 2" xfId="255" xr:uid="{00000000-0005-0000-0000-000082040000}"/>
    <cellStyle name="Normal 2 12 3 2 2" xfId="509" xr:uid="{00000000-0005-0000-0000-000083040000}"/>
    <cellStyle name="Normal 2 12 3 2 2 2" xfId="957" xr:uid="{00000000-0005-0000-0000-000084040000}"/>
    <cellStyle name="Normal 2 12 3 2 2 2 2" xfId="1907" xr:uid="{00000000-0005-0000-0000-000085040000}"/>
    <cellStyle name="Normal 2 12 3 2 2 2 2 2" xfId="4644" xr:uid="{00000000-0005-0000-0000-000086040000}"/>
    <cellStyle name="Normal 2 12 3 2 2 2 3" xfId="2799" xr:uid="{00000000-0005-0000-0000-000087040000}"/>
    <cellStyle name="Normal 2 12 3 2 2 2 3 2" xfId="5536" xr:uid="{00000000-0005-0000-0000-000088040000}"/>
    <cellStyle name="Normal 2 12 3 2 2 2 4" xfId="3697" xr:uid="{00000000-0005-0000-0000-000089040000}"/>
    <cellStyle name="Normal 2 12 3 2 2 3" xfId="1460" xr:uid="{00000000-0005-0000-0000-00008A040000}"/>
    <cellStyle name="Normal 2 12 3 2 2 3 2" xfId="4197" xr:uid="{00000000-0005-0000-0000-00008B040000}"/>
    <cellStyle name="Normal 2 12 3 2 2 4" xfId="2352" xr:uid="{00000000-0005-0000-0000-00008C040000}"/>
    <cellStyle name="Normal 2 12 3 2 2 4 2" xfId="5089" xr:uid="{00000000-0005-0000-0000-00008D040000}"/>
    <cellStyle name="Normal 2 12 3 2 2 5" xfId="3250" xr:uid="{00000000-0005-0000-0000-00008E040000}"/>
    <cellStyle name="Normal 2 12 3 2 3" xfId="708" xr:uid="{00000000-0005-0000-0000-00008F040000}"/>
    <cellStyle name="Normal 2 12 3 2 3 2" xfId="1658" xr:uid="{00000000-0005-0000-0000-000090040000}"/>
    <cellStyle name="Normal 2 12 3 2 3 2 2" xfId="4395" xr:uid="{00000000-0005-0000-0000-000091040000}"/>
    <cellStyle name="Normal 2 12 3 2 3 3" xfId="2550" xr:uid="{00000000-0005-0000-0000-000092040000}"/>
    <cellStyle name="Normal 2 12 3 2 3 3 2" xfId="5287" xr:uid="{00000000-0005-0000-0000-000093040000}"/>
    <cellStyle name="Normal 2 12 3 2 3 4" xfId="3448" xr:uid="{00000000-0005-0000-0000-000094040000}"/>
    <cellStyle name="Normal 2 12 3 2 4" xfId="1211" xr:uid="{00000000-0005-0000-0000-000095040000}"/>
    <cellStyle name="Normal 2 12 3 2 4 2" xfId="3948" xr:uid="{00000000-0005-0000-0000-000096040000}"/>
    <cellStyle name="Normal 2 12 3 2 5" xfId="2103" xr:uid="{00000000-0005-0000-0000-000097040000}"/>
    <cellStyle name="Normal 2 12 3 2 5 2" xfId="4840" xr:uid="{00000000-0005-0000-0000-000098040000}"/>
    <cellStyle name="Normal 2 12 3 2 6" xfId="3001" xr:uid="{00000000-0005-0000-0000-000099040000}"/>
    <cellStyle name="Normal 2 12 3 3" xfId="398" xr:uid="{00000000-0005-0000-0000-00009A040000}"/>
    <cellStyle name="Normal 2 12 3 3 2" xfId="846" xr:uid="{00000000-0005-0000-0000-00009B040000}"/>
    <cellStyle name="Normal 2 12 3 3 2 2" xfId="1796" xr:uid="{00000000-0005-0000-0000-00009C040000}"/>
    <cellStyle name="Normal 2 12 3 3 2 2 2" xfId="4533" xr:uid="{00000000-0005-0000-0000-00009D040000}"/>
    <cellStyle name="Normal 2 12 3 3 2 3" xfId="2688" xr:uid="{00000000-0005-0000-0000-00009E040000}"/>
    <cellStyle name="Normal 2 12 3 3 2 3 2" xfId="5425" xr:uid="{00000000-0005-0000-0000-00009F040000}"/>
    <cellStyle name="Normal 2 12 3 3 2 4" xfId="3586" xr:uid="{00000000-0005-0000-0000-0000A0040000}"/>
    <cellStyle name="Normal 2 12 3 3 3" xfId="1349" xr:uid="{00000000-0005-0000-0000-0000A1040000}"/>
    <cellStyle name="Normal 2 12 3 3 3 2" xfId="4086" xr:uid="{00000000-0005-0000-0000-0000A2040000}"/>
    <cellStyle name="Normal 2 12 3 3 4" xfId="2241" xr:uid="{00000000-0005-0000-0000-0000A3040000}"/>
    <cellStyle name="Normal 2 12 3 3 4 2" xfId="4978" xr:uid="{00000000-0005-0000-0000-0000A4040000}"/>
    <cellStyle name="Normal 2 12 3 3 5" xfId="3139" xr:uid="{00000000-0005-0000-0000-0000A5040000}"/>
    <cellStyle name="Normal 2 12 3 4" xfId="607" xr:uid="{00000000-0005-0000-0000-0000A6040000}"/>
    <cellStyle name="Normal 2 12 3 4 2" xfId="1557" xr:uid="{00000000-0005-0000-0000-0000A7040000}"/>
    <cellStyle name="Normal 2 12 3 4 2 2" xfId="4294" xr:uid="{00000000-0005-0000-0000-0000A8040000}"/>
    <cellStyle name="Normal 2 12 3 4 3" xfId="2449" xr:uid="{00000000-0005-0000-0000-0000A9040000}"/>
    <cellStyle name="Normal 2 12 3 4 3 2" xfId="5186" xr:uid="{00000000-0005-0000-0000-0000AA040000}"/>
    <cellStyle name="Normal 2 12 3 4 4" xfId="3347" xr:uid="{00000000-0005-0000-0000-0000AB040000}"/>
    <cellStyle name="Normal 2 12 3 5" xfId="1100" xr:uid="{00000000-0005-0000-0000-0000AC040000}"/>
    <cellStyle name="Normal 2 12 3 5 2" xfId="3837" xr:uid="{00000000-0005-0000-0000-0000AD040000}"/>
    <cellStyle name="Normal 2 12 3 6" xfId="1992" xr:uid="{00000000-0005-0000-0000-0000AE040000}"/>
    <cellStyle name="Normal 2 12 3 6 2" xfId="4729" xr:uid="{00000000-0005-0000-0000-0000AF040000}"/>
    <cellStyle name="Normal 2 12 3 7" xfId="2890" xr:uid="{00000000-0005-0000-0000-0000B0040000}"/>
    <cellStyle name="Normal 2 12 4" xfId="190" xr:uid="{00000000-0005-0000-0000-0000B1040000}"/>
    <cellStyle name="Normal 2 12 4 2" xfId="445" xr:uid="{00000000-0005-0000-0000-0000B2040000}"/>
    <cellStyle name="Normal 2 12 4 2 2" xfId="893" xr:uid="{00000000-0005-0000-0000-0000B3040000}"/>
    <cellStyle name="Normal 2 12 4 2 2 2" xfId="1843" xr:uid="{00000000-0005-0000-0000-0000B4040000}"/>
    <cellStyle name="Normal 2 12 4 2 2 2 2" xfId="4580" xr:uid="{00000000-0005-0000-0000-0000B5040000}"/>
    <cellStyle name="Normal 2 12 4 2 2 3" xfId="2735" xr:uid="{00000000-0005-0000-0000-0000B6040000}"/>
    <cellStyle name="Normal 2 12 4 2 2 3 2" xfId="5472" xr:uid="{00000000-0005-0000-0000-0000B7040000}"/>
    <cellStyle name="Normal 2 12 4 2 2 4" xfId="3633" xr:uid="{00000000-0005-0000-0000-0000B8040000}"/>
    <cellStyle name="Normal 2 12 4 2 3" xfId="1396" xr:uid="{00000000-0005-0000-0000-0000B9040000}"/>
    <cellStyle name="Normal 2 12 4 2 3 2" xfId="4133" xr:uid="{00000000-0005-0000-0000-0000BA040000}"/>
    <cellStyle name="Normal 2 12 4 2 4" xfId="2288" xr:uid="{00000000-0005-0000-0000-0000BB040000}"/>
    <cellStyle name="Normal 2 12 4 2 4 2" xfId="5025" xr:uid="{00000000-0005-0000-0000-0000BC040000}"/>
    <cellStyle name="Normal 2 12 4 2 5" xfId="3186" xr:uid="{00000000-0005-0000-0000-0000BD040000}"/>
    <cellStyle name="Normal 2 12 4 3" xfId="648" xr:uid="{00000000-0005-0000-0000-0000BE040000}"/>
    <cellStyle name="Normal 2 12 4 3 2" xfId="1598" xr:uid="{00000000-0005-0000-0000-0000BF040000}"/>
    <cellStyle name="Normal 2 12 4 3 2 2" xfId="4335" xr:uid="{00000000-0005-0000-0000-0000C0040000}"/>
    <cellStyle name="Normal 2 12 4 3 3" xfId="2490" xr:uid="{00000000-0005-0000-0000-0000C1040000}"/>
    <cellStyle name="Normal 2 12 4 3 3 2" xfId="5227" xr:uid="{00000000-0005-0000-0000-0000C2040000}"/>
    <cellStyle name="Normal 2 12 4 3 4" xfId="3388" xr:uid="{00000000-0005-0000-0000-0000C3040000}"/>
    <cellStyle name="Normal 2 12 4 4" xfId="1147" xr:uid="{00000000-0005-0000-0000-0000C4040000}"/>
    <cellStyle name="Normal 2 12 4 4 2" xfId="3884" xr:uid="{00000000-0005-0000-0000-0000C5040000}"/>
    <cellStyle name="Normal 2 12 4 5" xfId="2039" xr:uid="{00000000-0005-0000-0000-0000C6040000}"/>
    <cellStyle name="Normal 2 12 4 5 2" xfId="4776" xr:uid="{00000000-0005-0000-0000-0000C7040000}"/>
    <cellStyle name="Normal 2 12 4 6" xfId="2937" xr:uid="{00000000-0005-0000-0000-0000C8040000}"/>
    <cellStyle name="Normal 2 12 5" xfId="214" xr:uid="{00000000-0005-0000-0000-0000C9040000}"/>
    <cellStyle name="Normal 2 12 5 2" xfId="468" xr:uid="{00000000-0005-0000-0000-0000CA040000}"/>
    <cellStyle name="Normal 2 12 5 2 2" xfId="916" xr:uid="{00000000-0005-0000-0000-0000CB040000}"/>
    <cellStyle name="Normal 2 12 5 2 2 2" xfId="1866" xr:uid="{00000000-0005-0000-0000-0000CC040000}"/>
    <cellStyle name="Normal 2 12 5 2 2 2 2" xfId="4603" xr:uid="{00000000-0005-0000-0000-0000CD040000}"/>
    <cellStyle name="Normal 2 12 5 2 2 3" xfId="2758" xr:uid="{00000000-0005-0000-0000-0000CE040000}"/>
    <cellStyle name="Normal 2 12 5 2 2 3 2" xfId="5495" xr:uid="{00000000-0005-0000-0000-0000CF040000}"/>
    <cellStyle name="Normal 2 12 5 2 2 4" xfId="3656" xr:uid="{00000000-0005-0000-0000-0000D0040000}"/>
    <cellStyle name="Normal 2 12 5 2 3" xfId="1419" xr:uid="{00000000-0005-0000-0000-0000D1040000}"/>
    <cellStyle name="Normal 2 12 5 2 3 2" xfId="4156" xr:uid="{00000000-0005-0000-0000-0000D2040000}"/>
    <cellStyle name="Normal 2 12 5 2 4" xfId="2311" xr:uid="{00000000-0005-0000-0000-0000D3040000}"/>
    <cellStyle name="Normal 2 12 5 2 4 2" xfId="5048" xr:uid="{00000000-0005-0000-0000-0000D4040000}"/>
    <cellStyle name="Normal 2 12 5 2 5" xfId="3209" xr:uid="{00000000-0005-0000-0000-0000D5040000}"/>
    <cellStyle name="Normal 2 12 5 3" xfId="667" xr:uid="{00000000-0005-0000-0000-0000D6040000}"/>
    <cellStyle name="Normal 2 12 5 3 2" xfId="1617" xr:uid="{00000000-0005-0000-0000-0000D7040000}"/>
    <cellStyle name="Normal 2 12 5 3 2 2" xfId="4354" xr:uid="{00000000-0005-0000-0000-0000D8040000}"/>
    <cellStyle name="Normal 2 12 5 3 3" xfId="2509" xr:uid="{00000000-0005-0000-0000-0000D9040000}"/>
    <cellStyle name="Normal 2 12 5 3 3 2" xfId="5246" xr:uid="{00000000-0005-0000-0000-0000DA040000}"/>
    <cellStyle name="Normal 2 12 5 3 4" xfId="3407" xr:uid="{00000000-0005-0000-0000-0000DB040000}"/>
    <cellStyle name="Normal 2 12 5 4" xfId="1170" xr:uid="{00000000-0005-0000-0000-0000DC040000}"/>
    <cellStyle name="Normal 2 12 5 4 2" xfId="3907" xr:uid="{00000000-0005-0000-0000-0000DD040000}"/>
    <cellStyle name="Normal 2 12 5 5" xfId="2062" xr:uid="{00000000-0005-0000-0000-0000DE040000}"/>
    <cellStyle name="Normal 2 12 5 5 2" xfId="4799" xr:uid="{00000000-0005-0000-0000-0000DF040000}"/>
    <cellStyle name="Normal 2 12 5 6" xfId="2960" xr:uid="{00000000-0005-0000-0000-0000E0040000}"/>
    <cellStyle name="Normal 2 12 6" xfId="302" xr:uid="{00000000-0005-0000-0000-0000E1040000}"/>
    <cellStyle name="Normal 2 12 6 2" xfId="755" xr:uid="{00000000-0005-0000-0000-0000E2040000}"/>
    <cellStyle name="Normal 2 12 6 2 2" xfId="1705" xr:uid="{00000000-0005-0000-0000-0000E3040000}"/>
    <cellStyle name="Normal 2 12 6 2 2 2" xfId="4442" xr:uid="{00000000-0005-0000-0000-0000E4040000}"/>
    <cellStyle name="Normal 2 12 6 2 3" xfId="2597" xr:uid="{00000000-0005-0000-0000-0000E5040000}"/>
    <cellStyle name="Normal 2 12 6 2 3 2" xfId="5334" xr:uid="{00000000-0005-0000-0000-0000E6040000}"/>
    <cellStyle name="Normal 2 12 6 2 4" xfId="3495" xr:uid="{00000000-0005-0000-0000-0000E7040000}"/>
    <cellStyle name="Normal 2 12 6 3" xfId="1258" xr:uid="{00000000-0005-0000-0000-0000E8040000}"/>
    <cellStyle name="Normal 2 12 6 3 2" xfId="3995" xr:uid="{00000000-0005-0000-0000-0000E9040000}"/>
    <cellStyle name="Normal 2 12 6 4" xfId="2150" xr:uid="{00000000-0005-0000-0000-0000EA040000}"/>
    <cellStyle name="Normal 2 12 6 4 2" xfId="4887" xr:uid="{00000000-0005-0000-0000-0000EB040000}"/>
    <cellStyle name="Normal 2 12 6 5" xfId="3048" xr:uid="{00000000-0005-0000-0000-0000EC040000}"/>
    <cellStyle name="Normal 2 12 7" xfId="357" xr:uid="{00000000-0005-0000-0000-0000ED040000}"/>
    <cellStyle name="Normal 2 12 7 2" xfId="805" xr:uid="{00000000-0005-0000-0000-0000EE040000}"/>
    <cellStyle name="Normal 2 12 7 2 2" xfId="1755" xr:uid="{00000000-0005-0000-0000-0000EF040000}"/>
    <cellStyle name="Normal 2 12 7 2 2 2" xfId="4492" xr:uid="{00000000-0005-0000-0000-0000F0040000}"/>
    <cellStyle name="Normal 2 12 7 2 3" xfId="2647" xr:uid="{00000000-0005-0000-0000-0000F1040000}"/>
    <cellStyle name="Normal 2 12 7 2 3 2" xfId="5384" xr:uid="{00000000-0005-0000-0000-0000F2040000}"/>
    <cellStyle name="Normal 2 12 7 2 4" xfId="3545" xr:uid="{00000000-0005-0000-0000-0000F3040000}"/>
    <cellStyle name="Normal 2 12 7 3" xfId="1308" xr:uid="{00000000-0005-0000-0000-0000F4040000}"/>
    <cellStyle name="Normal 2 12 7 3 2" xfId="4045" xr:uid="{00000000-0005-0000-0000-0000F5040000}"/>
    <cellStyle name="Normal 2 12 7 4" xfId="2200" xr:uid="{00000000-0005-0000-0000-0000F6040000}"/>
    <cellStyle name="Normal 2 12 7 4 2" xfId="4937" xr:uid="{00000000-0005-0000-0000-0000F7040000}"/>
    <cellStyle name="Normal 2 12 7 5" xfId="3098" xr:uid="{00000000-0005-0000-0000-0000F8040000}"/>
    <cellStyle name="Normal 2 12 8" xfId="556" xr:uid="{00000000-0005-0000-0000-0000F9040000}"/>
    <cellStyle name="Normal 2 12 8 2" xfId="1507" xr:uid="{00000000-0005-0000-0000-0000FA040000}"/>
    <cellStyle name="Normal 2 12 8 2 2" xfId="4244" xr:uid="{00000000-0005-0000-0000-0000FB040000}"/>
    <cellStyle name="Normal 2 12 8 3" xfId="2399" xr:uid="{00000000-0005-0000-0000-0000FC040000}"/>
    <cellStyle name="Normal 2 12 8 3 2" xfId="5136" xr:uid="{00000000-0005-0000-0000-0000FD040000}"/>
    <cellStyle name="Normal 2 12 8 4" xfId="3297" xr:uid="{00000000-0005-0000-0000-0000FE040000}"/>
    <cellStyle name="Normal 2 12 9" xfId="1004" xr:uid="{00000000-0005-0000-0000-0000FF040000}"/>
    <cellStyle name="Normal 2 12 9 2" xfId="3744" xr:uid="{00000000-0005-0000-0000-000000050000}"/>
    <cellStyle name="Normal 2 13" xfId="93" xr:uid="{00000000-0005-0000-0000-000001050000}"/>
    <cellStyle name="Normal 2 13 10" xfId="1062" xr:uid="{00000000-0005-0000-0000-000002050000}"/>
    <cellStyle name="Normal 2 13 10 2" xfId="3799" xr:uid="{00000000-0005-0000-0000-000003050000}"/>
    <cellStyle name="Normal 2 13 11" xfId="1954" xr:uid="{00000000-0005-0000-0000-000004050000}"/>
    <cellStyle name="Normal 2 13 11 2" xfId="4691" xr:uid="{00000000-0005-0000-0000-000005050000}"/>
    <cellStyle name="Normal 2 13 12" xfId="2852" xr:uid="{00000000-0005-0000-0000-000006050000}"/>
    <cellStyle name="Normal 2 13 2" xfId="117" xr:uid="{00000000-0005-0000-0000-000007050000}"/>
    <cellStyle name="Normal 2 13 2 10" xfId="2872" xr:uid="{00000000-0005-0000-0000-000008050000}"/>
    <cellStyle name="Normal 2 13 2 2" xfId="165" xr:uid="{00000000-0005-0000-0000-000009050000}"/>
    <cellStyle name="Normal 2 13 2 2 2" xfId="278" xr:uid="{00000000-0005-0000-0000-00000A050000}"/>
    <cellStyle name="Normal 2 13 2 2 2 2" xfId="532" xr:uid="{00000000-0005-0000-0000-00000B050000}"/>
    <cellStyle name="Normal 2 13 2 2 2 2 2" xfId="980" xr:uid="{00000000-0005-0000-0000-00000C050000}"/>
    <cellStyle name="Normal 2 13 2 2 2 2 2 2" xfId="1930" xr:uid="{00000000-0005-0000-0000-00000D050000}"/>
    <cellStyle name="Normal 2 13 2 2 2 2 2 2 2" xfId="4667" xr:uid="{00000000-0005-0000-0000-00000E050000}"/>
    <cellStyle name="Normal 2 13 2 2 2 2 2 3" xfId="2822" xr:uid="{00000000-0005-0000-0000-00000F050000}"/>
    <cellStyle name="Normal 2 13 2 2 2 2 2 3 2" xfId="5559" xr:uid="{00000000-0005-0000-0000-000010050000}"/>
    <cellStyle name="Normal 2 13 2 2 2 2 2 4" xfId="3720" xr:uid="{00000000-0005-0000-0000-000011050000}"/>
    <cellStyle name="Normal 2 13 2 2 2 2 3" xfId="1483" xr:uid="{00000000-0005-0000-0000-000012050000}"/>
    <cellStyle name="Normal 2 13 2 2 2 2 3 2" xfId="4220" xr:uid="{00000000-0005-0000-0000-000013050000}"/>
    <cellStyle name="Normal 2 13 2 2 2 2 4" xfId="2375" xr:uid="{00000000-0005-0000-0000-000014050000}"/>
    <cellStyle name="Normal 2 13 2 2 2 2 4 2" xfId="5112" xr:uid="{00000000-0005-0000-0000-000015050000}"/>
    <cellStyle name="Normal 2 13 2 2 2 2 5" xfId="3273" xr:uid="{00000000-0005-0000-0000-000016050000}"/>
    <cellStyle name="Normal 2 13 2 2 2 3" xfId="731" xr:uid="{00000000-0005-0000-0000-000017050000}"/>
    <cellStyle name="Normal 2 13 2 2 2 3 2" xfId="1681" xr:uid="{00000000-0005-0000-0000-000018050000}"/>
    <cellStyle name="Normal 2 13 2 2 2 3 2 2" xfId="4418" xr:uid="{00000000-0005-0000-0000-000019050000}"/>
    <cellStyle name="Normal 2 13 2 2 2 3 3" xfId="2573" xr:uid="{00000000-0005-0000-0000-00001A050000}"/>
    <cellStyle name="Normal 2 13 2 2 2 3 3 2" xfId="5310" xr:uid="{00000000-0005-0000-0000-00001B050000}"/>
    <cellStyle name="Normal 2 13 2 2 2 3 4" xfId="3471" xr:uid="{00000000-0005-0000-0000-00001C050000}"/>
    <cellStyle name="Normal 2 13 2 2 2 4" xfId="1234" xr:uid="{00000000-0005-0000-0000-00001D050000}"/>
    <cellStyle name="Normal 2 13 2 2 2 4 2" xfId="3971" xr:uid="{00000000-0005-0000-0000-00001E050000}"/>
    <cellStyle name="Normal 2 13 2 2 2 5" xfId="2126" xr:uid="{00000000-0005-0000-0000-00001F050000}"/>
    <cellStyle name="Normal 2 13 2 2 2 5 2" xfId="4863" xr:uid="{00000000-0005-0000-0000-000020050000}"/>
    <cellStyle name="Normal 2 13 2 2 2 6" xfId="3024" xr:uid="{00000000-0005-0000-0000-000021050000}"/>
    <cellStyle name="Normal 2 13 2 2 3" xfId="421" xr:uid="{00000000-0005-0000-0000-000022050000}"/>
    <cellStyle name="Normal 2 13 2 2 3 2" xfId="869" xr:uid="{00000000-0005-0000-0000-000023050000}"/>
    <cellStyle name="Normal 2 13 2 2 3 2 2" xfId="1819" xr:uid="{00000000-0005-0000-0000-000024050000}"/>
    <cellStyle name="Normal 2 13 2 2 3 2 2 2" xfId="4556" xr:uid="{00000000-0005-0000-0000-000025050000}"/>
    <cellStyle name="Normal 2 13 2 2 3 2 3" xfId="2711" xr:uid="{00000000-0005-0000-0000-000026050000}"/>
    <cellStyle name="Normal 2 13 2 2 3 2 3 2" xfId="5448" xr:uid="{00000000-0005-0000-0000-000027050000}"/>
    <cellStyle name="Normal 2 13 2 2 3 2 4" xfId="3609" xr:uid="{00000000-0005-0000-0000-000028050000}"/>
    <cellStyle name="Normal 2 13 2 2 3 3" xfId="1372" xr:uid="{00000000-0005-0000-0000-000029050000}"/>
    <cellStyle name="Normal 2 13 2 2 3 3 2" xfId="4109" xr:uid="{00000000-0005-0000-0000-00002A050000}"/>
    <cellStyle name="Normal 2 13 2 2 3 4" xfId="2264" xr:uid="{00000000-0005-0000-0000-00002B050000}"/>
    <cellStyle name="Normal 2 13 2 2 3 4 2" xfId="5001" xr:uid="{00000000-0005-0000-0000-00002C050000}"/>
    <cellStyle name="Normal 2 13 2 2 3 5" xfId="3162" xr:uid="{00000000-0005-0000-0000-00002D050000}"/>
    <cellStyle name="Normal 2 13 2 2 4" xfId="630" xr:uid="{00000000-0005-0000-0000-00002E050000}"/>
    <cellStyle name="Normal 2 13 2 2 4 2" xfId="1580" xr:uid="{00000000-0005-0000-0000-00002F050000}"/>
    <cellStyle name="Normal 2 13 2 2 4 2 2" xfId="4317" xr:uid="{00000000-0005-0000-0000-000030050000}"/>
    <cellStyle name="Normal 2 13 2 2 4 3" xfId="2472" xr:uid="{00000000-0005-0000-0000-000031050000}"/>
    <cellStyle name="Normal 2 13 2 2 4 3 2" xfId="5209" xr:uid="{00000000-0005-0000-0000-000032050000}"/>
    <cellStyle name="Normal 2 13 2 2 4 4" xfId="3370" xr:uid="{00000000-0005-0000-0000-000033050000}"/>
    <cellStyle name="Normal 2 13 2 2 5" xfId="1123" xr:uid="{00000000-0005-0000-0000-000034050000}"/>
    <cellStyle name="Normal 2 13 2 2 5 2" xfId="3860" xr:uid="{00000000-0005-0000-0000-000035050000}"/>
    <cellStyle name="Normal 2 13 2 2 6" xfId="2015" xr:uid="{00000000-0005-0000-0000-000036050000}"/>
    <cellStyle name="Normal 2 13 2 2 6 2" xfId="4752" xr:uid="{00000000-0005-0000-0000-000037050000}"/>
    <cellStyle name="Normal 2 13 2 2 7" xfId="2913" xr:uid="{00000000-0005-0000-0000-000038050000}"/>
    <cellStyle name="Normal 2 13 2 3" xfId="237" xr:uid="{00000000-0005-0000-0000-000039050000}"/>
    <cellStyle name="Normal 2 13 2 3 2" xfId="491" xr:uid="{00000000-0005-0000-0000-00003A050000}"/>
    <cellStyle name="Normal 2 13 2 3 2 2" xfId="939" xr:uid="{00000000-0005-0000-0000-00003B050000}"/>
    <cellStyle name="Normal 2 13 2 3 2 2 2" xfId="1889" xr:uid="{00000000-0005-0000-0000-00003C050000}"/>
    <cellStyle name="Normal 2 13 2 3 2 2 2 2" xfId="4626" xr:uid="{00000000-0005-0000-0000-00003D050000}"/>
    <cellStyle name="Normal 2 13 2 3 2 2 3" xfId="2781" xr:uid="{00000000-0005-0000-0000-00003E050000}"/>
    <cellStyle name="Normal 2 13 2 3 2 2 3 2" xfId="5518" xr:uid="{00000000-0005-0000-0000-00003F050000}"/>
    <cellStyle name="Normal 2 13 2 3 2 2 4" xfId="3679" xr:uid="{00000000-0005-0000-0000-000040050000}"/>
    <cellStyle name="Normal 2 13 2 3 2 3" xfId="1442" xr:uid="{00000000-0005-0000-0000-000041050000}"/>
    <cellStyle name="Normal 2 13 2 3 2 3 2" xfId="4179" xr:uid="{00000000-0005-0000-0000-000042050000}"/>
    <cellStyle name="Normal 2 13 2 3 2 4" xfId="2334" xr:uid="{00000000-0005-0000-0000-000043050000}"/>
    <cellStyle name="Normal 2 13 2 3 2 4 2" xfId="5071" xr:uid="{00000000-0005-0000-0000-000044050000}"/>
    <cellStyle name="Normal 2 13 2 3 2 5" xfId="3232" xr:uid="{00000000-0005-0000-0000-000045050000}"/>
    <cellStyle name="Normal 2 13 2 3 3" xfId="690" xr:uid="{00000000-0005-0000-0000-000046050000}"/>
    <cellStyle name="Normal 2 13 2 3 3 2" xfId="1640" xr:uid="{00000000-0005-0000-0000-000047050000}"/>
    <cellStyle name="Normal 2 13 2 3 3 2 2" xfId="4377" xr:uid="{00000000-0005-0000-0000-000048050000}"/>
    <cellStyle name="Normal 2 13 2 3 3 3" xfId="2532" xr:uid="{00000000-0005-0000-0000-000049050000}"/>
    <cellStyle name="Normal 2 13 2 3 3 3 2" xfId="5269" xr:uid="{00000000-0005-0000-0000-00004A050000}"/>
    <cellStyle name="Normal 2 13 2 3 3 4" xfId="3430" xr:uid="{00000000-0005-0000-0000-00004B050000}"/>
    <cellStyle name="Normal 2 13 2 3 4" xfId="1193" xr:uid="{00000000-0005-0000-0000-00004C050000}"/>
    <cellStyle name="Normal 2 13 2 3 4 2" xfId="3930" xr:uid="{00000000-0005-0000-0000-00004D050000}"/>
    <cellStyle name="Normal 2 13 2 3 5" xfId="2085" xr:uid="{00000000-0005-0000-0000-00004E050000}"/>
    <cellStyle name="Normal 2 13 2 3 5 2" xfId="4822" xr:uid="{00000000-0005-0000-0000-00004F050000}"/>
    <cellStyle name="Normal 2 13 2 3 6" xfId="2983" xr:uid="{00000000-0005-0000-0000-000050050000}"/>
    <cellStyle name="Normal 2 13 2 4" xfId="330" xr:uid="{00000000-0005-0000-0000-000051050000}"/>
    <cellStyle name="Normal 2 13 2 4 2" xfId="783" xr:uid="{00000000-0005-0000-0000-000052050000}"/>
    <cellStyle name="Normal 2 13 2 4 2 2" xfId="1733" xr:uid="{00000000-0005-0000-0000-000053050000}"/>
    <cellStyle name="Normal 2 13 2 4 2 2 2" xfId="4470" xr:uid="{00000000-0005-0000-0000-000054050000}"/>
    <cellStyle name="Normal 2 13 2 4 2 3" xfId="2625" xr:uid="{00000000-0005-0000-0000-000055050000}"/>
    <cellStyle name="Normal 2 13 2 4 2 3 2" xfId="5362" xr:uid="{00000000-0005-0000-0000-000056050000}"/>
    <cellStyle name="Normal 2 13 2 4 2 4" xfId="3523" xr:uid="{00000000-0005-0000-0000-000057050000}"/>
    <cellStyle name="Normal 2 13 2 4 3" xfId="1286" xr:uid="{00000000-0005-0000-0000-000058050000}"/>
    <cellStyle name="Normal 2 13 2 4 3 2" xfId="4023" xr:uid="{00000000-0005-0000-0000-000059050000}"/>
    <cellStyle name="Normal 2 13 2 4 4" xfId="2178" xr:uid="{00000000-0005-0000-0000-00005A050000}"/>
    <cellStyle name="Normal 2 13 2 4 4 2" xfId="4915" xr:uid="{00000000-0005-0000-0000-00005B050000}"/>
    <cellStyle name="Normal 2 13 2 4 5" xfId="3076" xr:uid="{00000000-0005-0000-0000-00005C050000}"/>
    <cellStyle name="Normal 2 13 2 5" xfId="380" xr:uid="{00000000-0005-0000-0000-00005D050000}"/>
    <cellStyle name="Normal 2 13 2 5 2" xfId="828" xr:uid="{00000000-0005-0000-0000-00005E050000}"/>
    <cellStyle name="Normal 2 13 2 5 2 2" xfId="1778" xr:uid="{00000000-0005-0000-0000-00005F050000}"/>
    <cellStyle name="Normal 2 13 2 5 2 2 2" xfId="4515" xr:uid="{00000000-0005-0000-0000-000060050000}"/>
    <cellStyle name="Normal 2 13 2 5 2 3" xfId="2670" xr:uid="{00000000-0005-0000-0000-000061050000}"/>
    <cellStyle name="Normal 2 13 2 5 2 3 2" xfId="5407" xr:uid="{00000000-0005-0000-0000-000062050000}"/>
    <cellStyle name="Normal 2 13 2 5 2 4" xfId="3568" xr:uid="{00000000-0005-0000-0000-000063050000}"/>
    <cellStyle name="Normal 2 13 2 5 3" xfId="1331" xr:uid="{00000000-0005-0000-0000-000064050000}"/>
    <cellStyle name="Normal 2 13 2 5 3 2" xfId="4068" xr:uid="{00000000-0005-0000-0000-000065050000}"/>
    <cellStyle name="Normal 2 13 2 5 4" xfId="2223" xr:uid="{00000000-0005-0000-0000-000066050000}"/>
    <cellStyle name="Normal 2 13 2 5 4 2" xfId="4960" xr:uid="{00000000-0005-0000-0000-000067050000}"/>
    <cellStyle name="Normal 2 13 2 5 5" xfId="3121" xr:uid="{00000000-0005-0000-0000-000068050000}"/>
    <cellStyle name="Normal 2 13 2 6" xfId="585" xr:uid="{00000000-0005-0000-0000-000069050000}"/>
    <cellStyle name="Normal 2 13 2 6 2" xfId="1535" xr:uid="{00000000-0005-0000-0000-00006A050000}"/>
    <cellStyle name="Normal 2 13 2 6 2 2" xfId="4272" xr:uid="{00000000-0005-0000-0000-00006B050000}"/>
    <cellStyle name="Normal 2 13 2 6 3" xfId="2427" xr:uid="{00000000-0005-0000-0000-00006C050000}"/>
    <cellStyle name="Normal 2 13 2 6 3 2" xfId="5164" xr:uid="{00000000-0005-0000-0000-00006D050000}"/>
    <cellStyle name="Normal 2 13 2 6 4" xfId="3325" xr:uid="{00000000-0005-0000-0000-00006E050000}"/>
    <cellStyle name="Normal 2 13 2 7" xfId="1033" xr:uid="{00000000-0005-0000-0000-00006F050000}"/>
    <cellStyle name="Normal 2 13 2 7 2" xfId="3772" xr:uid="{00000000-0005-0000-0000-000070050000}"/>
    <cellStyle name="Normal 2 13 2 8" xfId="1082" xr:uid="{00000000-0005-0000-0000-000071050000}"/>
    <cellStyle name="Normal 2 13 2 8 2" xfId="3819" xr:uid="{00000000-0005-0000-0000-000072050000}"/>
    <cellStyle name="Normal 2 13 2 9" xfId="1974" xr:uid="{00000000-0005-0000-0000-000073050000}"/>
    <cellStyle name="Normal 2 13 2 9 2" xfId="4711" xr:uid="{00000000-0005-0000-0000-000074050000}"/>
    <cellStyle name="Normal 2 13 3" xfId="145" xr:uid="{00000000-0005-0000-0000-000075050000}"/>
    <cellStyle name="Normal 2 13 3 2" xfId="258" xr:uid="{00000000-0005-0000-0000-000076050000}"/>
    <cellStyle name="Normal 2 13 3 2 2" xfId="512" xr:uid="{00000000-0005-0000-0000-000077050000}"/>
    <cellStyle name="Normal 2 13 3 2 2 2" xfId="960" xr:uid="{00000000-0005-0000-0000-000078050000}"/>
    <cellStyle name="Normal 2 13 3 2 2 2 2" xfId="1910" xr:uid="{00000000-0005-0000-0000-000079050000}"/>
    <cellStyle name="Normal 2 13 3 2 2 2 2 2" xfId="4647" xr:uid="{00000000-0005-0000-0000-00007A050000}"/>
    <cellStyle name="Normal 2 13 3 2 2 2 3" xfId="2802" xr:uid="{00000000-0005-0000-0000-00007B050000}"/>
    <cellStyle name="Normal 2 13 3 2 2 2 3 2" xfId="5539" xr:uid="{00000000-0005-0000-0000-00007C050000}"/>
    <cellStyle name="Normal 2 13 3 2 2 2 4" xfId="3700" xr:uid="{00000000-0005-0000-0000-00007D050000}"/>
    <cellStyle name="Normal 2 13 3 2 2 3" xfId="1463" xr:uid="{00000000-0005-0000-0000-00007E050000}"/>
    <cellStyle name="Normal 2 13 3 2 2 3 2" xfId="4200" xr:uid="{00000000-0005-0000-0000-00007F050000}"/>
    <cellStyle name="Normal 2 13 3 2 2 4" xfId="2355" xr:uid="{00000000-0005-0000-0000-000080050000}"/>
    <cellStyle name="Normal 2 13 3 2 2 4 2" xfId="5092" xr:uid="{00000000-0005-0000-0000-000081050000}"/>
    <cellStyle name="Normal 2 13 3 2 2 5" xfId="3253" xr:uid="{00000000-0005-0000-0000-000082050000}"/>
    <cellStyle name="Normal 2 13 3 2 3" xfId="711" xr:uid="{00000000-0005-0000-0000-000083050000}"/>
    <cellStyle name="Normal 2 13 3 2 3 2" xfId="1661" xr:uid="{00000000-0005-0000-0000-000084050000}"/>
    <cellStyle name="Normal 2 13 3 2 3 2 2" xfId="4398" xr:uid="{00000000-0005-0000-0000-000085050000}"/>
    <cellStyle name="Normal 2 13 3 2 3 3" xfId="2553" xr:uid="{00000000-0005-0000-0000-000086050000}"/>
    <cellStyle name="Normal 2 13 3 2 3 3 2" xfId="5290" xr:uid="{00000000-0005-0000-0000-000087050000}"/>
    <cellStyle name="Normal 2 13 3 2 3 4" xfId="3451" xr:uid="{00000000-0005-0000-0000-000088050000}"/>
    <cellStyle name="Normal 2 13 3 2 4" xfId="1214" xr:uid="{00000000-0005-0000-0000-000089050000}"/>
    <cellStyle name="Normal 2 13 3 2 4 2" xfId="3951" xr:uid="{00000000-0005-0000-0000-00008A050000}"/>
    <cellStyle name="Normal 2 13 3 2 5" xfId="2106" xr:uid="{00000000-0005-0000-0000-00008B050000}"/>
    <cellStyle name="Normal 2 13 3 2 5 2" xfId="4843" xr:uid="{00000000-0005-0000-0000-00008C050000}"/>
    <cellStyle name="Normal 2 13 3 2 6" xfId="3004" xr:uid="{00000000-0005-0000-0000-00008D050000}"/>
    <cellStyle name="Normal 2 13 3 3" xfId="401" xr:uid="{00000000-0005-0000-0000-00008E050000}"/>
    <cellStyle name="Normal 2 13 3 3 2" xfId="849" xr:uid="{00000000-0005-0000-0000-00008F050000}"/>
    <cellStyle name="Normal 2 13 3 3 2 2" xfId="1799" xr:uid="{00000000-0005-0000-0000-000090050000}"/>
    <cellStyle name="Normal 2 13 3 3 2 2 2" xfId="4536" xr:uid="{00000000-0005-0000-0000-000091050000}"/>
    <cellStyle name="Normal 2 13 3 3 2 3" xfId="2691" xr:uid="{00000000-0005-0000-0000-000092050000}"/>
    <cellStyle name="Normal 2 13 3 3 2 3 2" xfId="5428" xr:uid="{00000000-0005-0000-0000-000093050000}"/>
    <cellStyle name="Normal 2 13 3 3 2 4" xfId="3589" xr:uid="{00000000-0005-0000-0000-000094050000}"/>
    <cellStyle name="Normal 2 13 3 3 3" xfId="1352" xr:uid="{00000000-0005-0000-0000-000095050000}"/>
    <cellStyle name="Normal 2 13 3 3 3 2" xfId="4089" xr:uid="{00000000-0005-0000-0000-000096050000}"/>
    <cellStyle name="Normal 2 13 3 3 4" xfId="2244" xr:uid="{00000000-0005-0000-0000-000097050000}"/>
    <cellStyle name="Normal 2 13 3 3 4 2" xfId="4981" xr:uid="{00000000-0005-0000-0000-000098050000}"/>
    <cellStyle name="Normal 2 13 3 3 5" xfId="3142" xr:uid="{00000000-0005-0000-0000-000099050000}"/>
    <cellStyle name="Normal 2 13 3 4" xfId="610" xr:uid="{00000000-0005-0000-0000-00009A050000}"/>
    <cellStyle name="Normal 2 13 3 4 2" xfId="1560" xr:uid="{00000000-0005-0000-0000-00009B050000}"/>
    <cellStyle name="Normal 2 13 3 4 2 2" xfId="4297" xr:uid="{00000000-0005-0000-0000-00009C050000}"/>
    <cellStyle name="Normal 2 13 3 4 3" xfId="2452" xr:uid="{00000000-0005-0000-0000-00009D050000}"/>
    <cellStyle name="Normal 2 13 3 4 3 2" xfId="5189" xr:uid="{00000000-0005-0000-0000-00009E050000}"/>
    <cellStyle name="Normal 2 13 3 4 4" xfId="3350" xr:uid="{00000000-0005-0000-0000-00009F050000}"/>
    <cellStyle name="Normal 2 13 3 5" xfId="1103" xr:uid="{00000000-0005-0000-0000-0000A0050000}"/>
    <cellStyle name="Normal 2 13 3 5 2" xfId="3840" xr:uid="{00000000-0005-0000-0000-0000A1050000}"/>
    <cellStyle name="Normal 2 13 3 6" xfId="1995" xr:uid="{00000000-0005-0000-0000-0000A2050000}"/>
    <cellStyle name="Normal 2 13 3 6 2" xfId="4732" xr:uid="{00000000-0005-0000-0000-0000A3050000}"/>
    <cellStyle name="Normal 2 13 3 7" xfId="2893" xr:uid="{00000000-0005-0000-0000-0000A4050000}"/>
    <cellStyle name="Normal 2 13 4" xfId="191" xr:uid="{00000000-0005-0000-0000-0000A5050000}"/>
    <cellStyle name="Normal 2 13 4 2" xfId="446" xr:uid="{00000000-0005-0000-0000-0000A6050000}"/>
    <cellStyle name="Normal 2 13 4 2 2" xfId="894" xr:uid="{00000000-0005-0000-0000-0000A7050000}"/>
    <cellStyle name="Normal 2 13 4 2 2 2" xfId="1844" xr:uid="{00000000-0005-0000-0000-0000A8050000}"/>
    <cellStyle name="Normal 2 13 4 2 2 2 2" xfId="4581" xr:uid="{00000000-0005-0000-0000-0000A9050000}"/>
    <cellStyle name="Normal 2 13 4 2 2 3" xfId="2736" xr:uid="{00000000-0005-0000-0000-0000AA050000}"/>
    <cellStyle name="Normal 2 13 4 2 2 3 2" xfId="5473" xr:uid="{00000000-0005-0000-0000-0000AB050000}"/>
    <cellStyle name="Normal 2 13 4 2 2 4" xfId="3634" xr:uid="{00000000-0005-0000-0000-0000AC050000}"/>
    <cellStyle name="Normal 2 13 4 2 3" xfId="1397" xr:uid="{00000000-0005-0000-0000-0000AD050000}"/>
    <cellStyle name="Normal 2 13 4 2 3 2" xfId="4134" xr:uid="{00000000-0005-0000-0000-0000AE050000}"/>
    <cellStyle name="Normal 2 13 4 2 4" xfId="2289" xr:uid="{00000000-0005-0000-0000-0000AF050000}"/>
    <cellStyle name="Normal 2 13 4 2 4 2" xfId="5026" xr:uid="{00000000-0005-0000-0000-0000B0050000}"/>
    <cellStyle name="Normal 2 13 4 2 5" xfId="3187" xr:uid="{00000000-0005-0000-0000-0000B1050000}"/>
    <cellStyle name="Normal 2 13 4 3" xfId="649" xr:uid="{00000000-0005-0000-0000-0000B2050000}"/>
    <cellStyle name="Normal 2 13 4 3 2" xfId="1599" xr:uid="{00000000-0005-0000-0000-0000B3050000}"/>
    <cellStyle name="Normal 2 13 4 3 2 2" xfId="4336" xr:uid="{00000000-0005-0000-0000-0000B4050000}"/>
    <cellStyle name="Normal 2 13 4 3 3" xfId="2491" xr:uid="{00000000-0005-0000-0000-0000B5050000}"/>
    <cellStyle name="Normal 2 13 4 3 3 2" xfId="5228" xr:uid="{00000000-0005-0000-0000-0000B6050000}"/>
    <cellStyle name="Normal 2 13 4 3 4" xfId="3389" xr:uid="{00000000-0005-0000-0000-0000B7050000}"/>
    <cellStyle name="Normal 2 13 4 4" xfId="1148" xr:uid="{00000000-0005-0000-0000-0000B8050000}"/>
    <cellStyle name="Normal 2 13 4 4 2" xfId="3885" xr:uid="{00000000-0005-0000-0000-0000B9050000}"/>
    <cellStyle name="Normal 2 13 4 5" xfId="2040" xr:uid="{00000000-0005-0000-0000-0000BA050000}"/>
    <cellStyle name="Normal 2 13 4 5 2" xfId="4777" xr:uid="{00000000-0005-0000-0000-0000BB050000}"/>
    <cellStyle name="Normal 2 13 4 6" xfId="2938" xr:uid="{00000000-0005-0000-0000-0000BC050000}"/>
    <cellStyle name="Normal 2 13 5" xfId="217" xr:uid="{00000000-0005-0000-0000-0000BD050000}"/>
    <cellStyle name="Normal 2 13 5 2" xfId="471" xr:uid="{00000000-0005-0000-0000-0000BE050000}"/>
    <cellStyle name="Normal 2 13 5 2 2" xfId="919" xr:uid="{00000000-0005-0000-0000-0000BF050000}"/>
    <cellStyle name="Normal 2 13 5 2 2 2" xfId="1869" xr:uid="{00000000-0005-0000-0000-0000C0050000}"/>
    <cellStyle name="Normal 2 13 5 2 2 2 2" xfId="4606" xr:uid="{00000000-0005-0000-0000-0000C1050000}"/>
    <cellStyle name="Normal 2 13 5 2 2 3" xfId="2761" xr:uid="{00000000-0005-0000-0000-0000C2050000}"/>
    <cellStyle name="Normal 2 13 5 2 2 3 2" xfId="5498" xr:uid="{00000000-0005-0000-0000-0000C3050000}"/>
    <cellStyle name="Normal 2 13 5 2 2 4" xfId="3659" xr:uid="{00000000-0005-0000-0000-0000C4050000}"/>
    <cellStyle name="Normal 2 13 5 2 3" xfId="1422" xr:uid="{00000000-0005-0000-0000-0000C5050000}"/>
    <cellStyle name="Normal 2 13 5 2 3 2" xfId="4159" xr:uid="{00000000-0005-0000-0000-0000C6050000}"/>
    <cellStyle name="Normal 2 13 5 2 4" xfId="2314" xr:uid="{00000000-0005-0000-0000-0000C7050000}"/>
    <cellStyle name="Normal 2 13 5 2 4 2" xfId="5051" xr:uid="{00000000-0005-0000-0000-0000C8050000}"/>
    <cellStyle name="Normal 2 13 5 2 5" xfId="3212" xr:uid="{00000000-0005-0000-0000-0000C9050000}"/>
    <cellStyle name="Normal 2 13 5 3" xfId="670" xr:uid="{00000000-0005-0000-0000-0000CA050000}"/>
    <cellStyle name="Normal 2 13 5 3 2" xfId="1620" xr:uid="{00000000-0005-0000-0000-0000CB050000}"/>
    <cellStyle name="Normal 2 13 5 3 2 2" xfId="4357" xr:uid="{00000000-0005-0000-0000-0000CC050000}"/>
    <cellStyle name="Normal 2 13 5 3 3" xfId="2512" xr:uid="{00000000-0005-0000-0000-0000CD050000}"/>
    <cellStyle name="Normal 2 13 5 3 3 2" xfId="5249" xr:uid="{00000000-0005-0000-0000-0000CE050000}"/>
    <cellStyle name="Normal 2 13 5 3 4" xfId="3410" xr:uid="{00000000-0005-0000-0000-0000CF050000}"/>
    <cellStyle name="Normal 2 13 5 4" xfId="1173" xr:uid="{00000000-0005-0000-0000-0000D0050000}"/>
    <cellStyle name="Normal 2 13 5 4 2" xfId="3910" xr:uid="{00000000-0005-0000-0000-0000D1050000}"/>
    <cellStyle name="Normal 2 13 5 5" xfId="2065" xr:uid="{00000000-0005-0000-0000-0000D2050000}"/>
    <cellStyle name="Normal 2 13 5 5 2" xfId="4802" xr:uid="{00000000-0005-0000-0000-0000D3050000}"/>
    <cellStyle name="Normal 2 13 5 6" xfId="2963" xr:uid="{00000000-0005-0000-0000-0000D4050000}"/>
    <cellStyle name="Normal 2 13 6" xfId="303" xr:uid="{00000000-0005-0000-0000-0000D5050000}"/>
    <cellStyle name="Normal 2 13 6 2" xfId="756" xr:uid="{00000000-0005-0000-0000-0000D6050000}"/>
    <cellStyle name="Normal 2 13 6 2 2" xfId="1706" xr:uid="{00000000-0005-0000-0000-0000D7050000}"/>
    <cellStyle name="Normal 2 13 6 2 2 2" xfId="4443" xr:uid="{00000000-0005-0000-0000-0000D8050000}"/>
    <cellStyle name="Normal 2 13 6 2 3" xfId="2598" xr:uid="{00000000-0005-0000-0000-0000D9050000}"/>
    <cellStyle name="Normal 2 13 6 2 3 2" xfId="5335" xr:uid="{00000000-0005-0000-0000-0000DA050000}"/>
    <cellStyle name="Normal 2 13 6 2 4" xfId="3496" xr:uid="{00000000-0005-0000-0000-0000DB050000}"/>
    <cellStyle name="Normal 2 13 6 3" xfId="1259" xr:uid="{00000000-0005-0000-0000-0000DC050000}"/>
    <cellStyle name="Normal 2 13 6 3 2" xfId="3996" xr:uid="{00000000-0005-0000-0000-0000DD050000}"/>
    <cellStyle name="Normal 2 13 6 4" xfId="2151" xr:uid="{00000000-0005-0000-0000-0000DE050000}"/>
    <cellStyle name="Normal 2 13 6 4 2" xfId="4888" xr:uid="{00000000-0005-0000-0000-0000DF050000}"/>
    <cellStyle name="Normal 2 13 6 5" xfId="3049" xr:uid="{00000000-0005-0000-0000-0000E0050000}"/>
    <cellStyle name="Normal 2 13 7" xfId="360" xr:uid="{00000000-0005-0000-0000-0000E1050000}"/>
    <cellStyle name="Normal 2 13 7 2" xfId="808" xr:uid="{00000000-0005-0000-0000-0000E2050000}"/>
    <cellStyle name="Normal 2 13 7 2 2" xfId="1758" xr:uid="{00000000-0005-0000-0000-0000E3050000}"/>
    <cellStyle name="Normal 2 13 7 2 2 2" xfId="4495" xr:uid="{00000000-0005-0000-0000-0000E4050000}"/>
    <cellStyle name="Normal 2 13 7 2 3" xfId="2650" xr:uid="{00000000-0005-0000-0000-0000E5050000}"/>
    <cellStyle name="Normal 2 13 7 2 3 2" xfId="5387" xr:uid="{00000000-0005-0000-0000-0000E6050000}"/>
    <cellStyle name="Normal 2 13 7 2 4" xfId="3548" xr:uid="{00000000-0005-0000-0000-0000E7050000}"/>
    <cellStyle name="Normal 2 13 7 3" xfId="1311" xr:uid="{00000000-0005-0000-0000-0000E8050000}"/>
    <cellStyle name="Normal 2 13 7 3 2" xfId="4048" xr:uid="{00000000-0005-0000-0000-0000E9050000}"/>
    <cellStyle name="Normal 2 13 7 4" xfId="2203" xr:uid="{00000000-0005-0000-0000-0000EA050000}"/>
    <cellStyle name="Normal 2 13 7 4 2" xfId="4940" xr:uid="{00000000-0005-0000-0000-0000EB050000}"/>
    <cellStyle name="Normal 2 13 7 5" xfId="3101" xr:uid="{00000000-0005-0000-0000-0000EC050000}"/>
    <cellStyle name="Normal 2 13 8" xfId="557" xr:uid="{00000000-0005-0000-0000-0000ED050000}"/>
    <cellStyle name="Normal 2 13 8 2" xfId="1508" xr:uid="{00000000-0005-0000-0000-0000EE050000}"/>
    <cellStyle name="Normal 2 13 8 2 2" xfId="4245" xr:uid="{00000000-0005-0000-0000-0000EF050000}"/>
    <cellStyle name="Normal 2 13 8 3" xfId="2400" xr:uid="{00000000-0005-0000-0000-0000F0050000}"/>
    <cellStyle name="Normal 2 13 8 3 2" xfId="5137" xr:uid="{00000000-0005-0000-0000-0000F1050000}"/>
    <cellStyle name="Normal 2 13 8 4" xfId="3298" xr:uid="{00000000-0005-0000-0000-0000F2050000}"/>
    <cellStyle name="Normal 2 13 9" xfId="1005" xr:uid="{00000000-0005-0000-0000-0000F3050000}"/>
    <cellStyle name="Normal 2 13 9 2" xfId="3745" xr:uid="{00000000-0005-0000-0000-0000F4050000}"/>
    <cellStyle name="Normal 2 14" xfId="99" xr:uid="{00000000-0005-0000-0000-0000F5050000}"/>
    <cellStyle name="Normal 2 14 10" xfId="1065" xr:uid="{00000000-0005-0000-0000-0000F6050000}"/>
    <cellStyle name="Normal 2 14 10 2" xfId="3802" xr:uid="{00000000-0005-0000-0000-0000F7050000}"/>
    <cellStyle name="Normal 2 14 11" xfId="1957" xr:uid="{00000000-0005-0000-0000-0000F8050000}"/>
    <cellStyle name="Normal 2 14 11 2" xfId="4694" xr:uid="{00000000-0005-0000-0000-0000F9050000}"/>
    <cellStyle name="Normal 2 14 12" xfId="2855" xr:uid="{00000000-0005-0000-0000-0000FA050000}"/>
    <cellStyle name="Normal 2 14 2" xfId="118" xr:uid="{00000000-0005-0000-0000-0000FB050000}"/>
    <cellStyle name="Normal 2 14 2 10" xfId="2873" xr:uid="{00000000-0005-0000-0000-0000FC050000}"/>
    <cellStyle name="Normal 2 14 2 2" xfId="166" xr:uid="{00000000-0005-0000-0000-0000FD050000}"/>
    <cellStyle name="Normal 2 14 2 2 2" xfId="279" xr:uid="{00000000-0005-0000-0000-0000FE050000}"/>
    <cellStyle name="Normal 2 14 2 2 2 2" xfId="533" xr:uid="{00000000-0005-0000-0000-0000FF050000}"/>
    <cellStyle name="Normal 2 14 2 2 2 2 2" xfId="981" xr:uid="{00000000-0005-0000-0000-000000060000}"/>
    <cellStyle name="Normal 2 14 2 2 2 2 2 2" xfId="1931" xr:uid="{00000000-0005-0000-0000-000001060000}"/>
    <cellStyle name="Normal 2 14 2 2 2 2 2 2 2" xfId="4668" xr:uid="{00000000-0005-0000-0000-000002060000}"/>
    <cellStyle name="Normal 2 14 2 2 2 2 2 3" xfId="2823" xr:uid="{00000000-0005-0000-0000-000003060000}"/>
    <cellStyle name="Normal 2 14 2 2 2 2 2 3 2" xfId="5560" xr:uid="{00000000-0005-0000-0000-000004060000}"/>
    <cellStyle name="Normal 2 14 2 2 2 2 2 4" xfId="3721" xr:uid="{00000000-0005-0000-0000-000005060000}"/>
    <cellStyle name="Normal 2 14 2 2 2 2 3" xfId="1484" xr:uid="{00000000-0005-0000-0000-000006060000}"/>
    <cellStyle name="Normal 2 14 2 2 2 2 3 2" xfId="4221" xr:uid="{00000000-0005-0000-0000-000007060000}"/>
    <cellStyle name="Normal 2 14 2 2 2 2 4" xfId="2376" xr:uid="{00000000-0005-0000-0000-000008060000}"/>
    <cellStyle name="Normal 2 14 2 2 2 2 4 2" xfId="5113" xr:uid="{00000000-0005-0000-0000-000009060000}"/>
    <cellStyle name="Normal 2 14 2 2 2 2 5" xfId="3274" xr:uid="{00000000-0005-0000-0000-00000A060000}"/>
    <cellStyle name="Normal 2 14 2 2 2 3" xfId="732" xr:uid="{00000000-0005-0000-0000-00000B060000}"/>
    <cellStyle name="Normal 2 14 2 2 2 3 2" xfId="1682" xr:uid="{00000000-0005-0000-0000-00000C060000}"/>
    <cellStyle name="Normal 2 14 2 2 2 3 2 2" xfId="4419" xr:uid="{00000000-0005-0000-0000-00000D060000}"/>
    <cellStyle name="Normal 2 14 2 2 2 3 3" xfId="2574" xr:uid="{00000000-0005-0000-0000-00000E060000}"/>
    <cellStyle name="Normal 2 14 2 2 2 3 3 2" xfId="5311" xr:uid="{00000000-0005-0000-0000-00000F060000}"/>
    <cellStyle name="Normal 2 14 2 2 2 3 4" xfId="3472" xr:uid="{00000000-0005-0000-0000-000010060000}"/>
    <cellStyle name="Normal 2 14 2 2 2 4" xfId="1235" xr:uid="{00000000-0005-0000-0000-000011060000}"/>
    <cellStyle name="Normal 2 14 2 2 2 4 2" xfId="3972" xr:uid="{00000000-0005-0000-0000-000012060000}"/>
    <cellStyle name="Normal 2 14 2 2 2 5" xfId="2127" xr:uid="{00000000-0005-0000-0000-000013060000}"/>
    <cellStyle name="Normal 2 14 2 2 2 5 2" xfId="4864" xr:uid="{00000000-0005-0000-0000-000014060000}"/>
    <cellStyle name="Normal 2 14 2 2 2 6" xfId="3025" xr:uid="{00000000-0005-0000-0000-000015060000}"/>
    <cellStyle name="Normal 2 14 2 2 3" xfId="422" xr:uid="{00000000-0005-0000-0000-000016060000}"/>
    <cellStyle name="Normal 2 14 2 2 3 2" xfId="870" xr:uid="{00000000-0005-0000-0000-000017060000}"/>
    <cellStyle name="Normal 2 14 2 2 3 2 2" xfId="1820" xr:uid="{00000000-0005-0000-0000-000018060000}"/>
    <cellStyle name="Normal 2 14 2 2 3 2 2 2" xfId="4557" xr:uid="{00000000-0005-0000-0000-000019060000}"/>
    <cellStyle name="Normal 2 14 2 2 3 2 3" xfId="2712" xr:uid="{00000000-0005-0000-0000-00001A060000}"/>
    <cellStyle name="Normal 2 14 2 2 3 2 3 2" xfId="5449" xr:uid="{00000000-0005-0000-0000-00001B060000}"/>
    <cellStyle name="Normal 2 14 2 2 3 2 4" xfId="3610" xr:uid="{00000000-0005-0000-0000-00001C060000}"/>
    <cellStyle name="Normal 2 14 2 2 3 3" xfId="1373" xr:uid="{00000000-0005-0000-0000-00001D060000}"/>
    <cellStyle name="Normal 2 14 2 2 3 3 2" xfId="4110" xr:uid="{00000000-0005-0000-0000-00001E060000}"/>
    <cellStyle name="Normal 2 14 2 2 3 4" xfId="2265" xr:uid="{00000000-0005-0000-0000-00001F060000}"/>
    <cellStyle name="Normal 2 14 2 2 3 4 2" xfId="5002" xr:uid="{00000000-0005-0000-0000-000020060000}"/>
    <cellStyle name="Normal 2 14 2 2 3 5" xfId="3163" xr:uid="{00000000-0005-0000-0000-000021060000}"/>
    <cellStyle name="Normal 2 14 2 2 4" xfId="631" xr:uid="{00000000-0005-0000-0000-000022060000}"/>
    <cellStyle name="Normal 2 14 2 2 4 2" xfId="1581" xr:uid="{00000000-0005-0000-0000-000023060000}"/>
    <cellStyle name="Normal 2 14 2 2 4 2 2" xfId="4318" xr:uid="{00000000-0005-0000-0000-000024060000}"/>
    <cellStyle name="Normal 2 14 2 2 4 3" xfId="2473" xr:uid="{00000000-0005-0000-0000-000025060000}"/>
    <cellStyle name="Normal 2 14 2 2 4 3 2" xfId="5210" xr:uid="{00000000-0005-0000-0000-000026060000}"/>
    <cellStyle name="Normal 2 14 2 2 4 4" xfId="3371" xr:uid="{00000000-0005-0000-0000-000027060000}"/>
    <cellStyle name="Normal 2 14 2 2 5" xfId="1124" xr:uid="{00000000-0005-0000-0000-000028060000}"/>
    <cellStyle name="Normal 2 14 2 2 5 2" xfId="3861" xr:uid="{00000000-0005-0000-0000-000029060000}"/>
    <cellStyle name="Normal 2 14 2 2 6" xfId="2016" xr:uid="{00000000-0005-0000-0000-00002A060000}"/>
    <cellStyle name="Normal 2 14 2 2 6 2" xfId="4753" xr:uid="{00000000-0005-0000-0000-00002B060000}"/>
    <cellStyle name="Normal 2 14 2 2 7" xfId="2914" xr:uid="{00000000-0005-0000-0000-00002C060000}"/>
    <cellStyle name="Normal 2 14 2 3" xfId="238" xr:uid="{00000000-0005-0000-0000-00002D060000}"/>
    <cellStyle name="Normal 2 14 2 3 2" xfId="492" xr:uid="{00000000-0005-0000-0000-00002E060000}"/>
    <cellStyle name="Normal 2 14 2 3 2 2" xfId="940" xr:uid="{00000000-0005-0000-0000-00002F060000}"/>
    <cellStyle name="Normal 2 14 2 3 2 2 2" xfId="1890" xr:uid="{00000000-0005-0000-0000-000030060000}"/>
    <cellStyle name="Normal 2 14 2 3 2 2 2 2" xfId="4627" xr:uid="{00000000-0005-0000-0000-000031060000}"/>
    <cellStyle name="Normal 2 14 2 3 2 2 3" xfId="2782" xr:uid="{00000000-0005-0000-0000-000032060000}"/>
    <cellStyle name="Normal 2 14 2 3 2 2 3 2" xfId="5519" xr:uid="{00000000-0005-0000-0000-000033060000}"/>
    <cellStyle name="Normal 2 14 2 3 2 2 4" xfId="3680" xr:uid="{00000000-0005-0000-0000-000034060000}"/>
    <cellStyle name="Normal 2 14 2 3 2 3" xfId="1443" xr:uid="{00000000-0005-0000-0000-000035060000}"/>
    <cellStyle name="Normal 2 14 2 3 2 3 2" xfId="4180" xr:uid="{00000000-0005-0000-0000-000036060000}"/>
    <cellStyle name="Normal 2 14 2 3 2 4" xfId="2335" xr:uid="{00000000-0005-0000-0000-000037060000}"/>
    <cellStyle name="Normal 2 14 2 3 2 4 2" xfId="5072" xr:uid="{00000000-0005-0000-0000-000038060000}"/>
    <cellStyle name="Normal 2 14 2 3 2 5" xfId="3233" xr:uid="{00000000-0005-0000-0000-000039060000}"/>
    <cellStyle name="Normal 2 14 2 3 3" xfId="691" xr:uid="{00000000-0005-0000-0000-00003A060000}"/>
    <cellStyle name="Normal 2 14 2 3 3 2" xfId="1641" xr:uid="{00000000-0005-0000-0000-00003B060000}"/>
    <cellStyle name="Normal 2 14 2 3 3 2 2" xfId="4378" xr:uid="{00000000-0005-0000-0000-00003C060000}"/>
    <cellStyle name="Normal 2 14 2 3 3 3" xfId="2533" xr:uid="{00000000-0005-0000-0000-00003D060000}"/>
    <cellStyle name="Normal 2 14 2 3 3 3 2" xfId="5270" xr:uid="{00000000-0005-0000-0000-00003E060000}"/>
    <cellStyle name="Normal 2 14 2 3 3 4" xfId="3431" xr:uid="{00000000-0005-0000-0000-00003F060000}"/>
    <cellStyle name="Normal 2 14 2 3 4" xfId="1194" xr:uid="{00000000-0005-0000-0000-000040060000}"/>
    <cellStyle name="Normal 2 14 2 3 4 2" xfId="3931" xr:uid="{00000000-0005-0000-0000-000041060000}"/>
    <cellStyle name="Normal 2 14 2 3 5" xfId="2086" xr:uid="{00000000-0005-0000-0000-000042060000}"/>
    <cellStyle name="Normal 2 14 2 3 5 2" xfId="4823" xr:uid="{00000000-0005-0000-0000-000043060000}"/>
    <cellStyle name="Normal 2 14 2 3 6" xfId="2984" xr:uid="{00000000-0005-0000-0000-000044060000}"/>
    <cellStyle name="Normal 2 14 2 4" xfId="331" xr:uid="{00000000-0005-0000-0000-000045060000}"/>
    <cellStyle name="Normal 2 14 2 4 2" xfId="784" xr:uid="{00000000-0005-0000-0000-000046060000}"/>
    <cellStyle name="Normal 2 14 2 4 2 2" xfId="1734" xr:uid="{00000000-0005-0000-0000-000047060000}"/>
    <cellStyle name="Normal 2 14 2 4 2 2 2" xfId="4471" xr:uid="{00000000-0005-0000-0000-000048060000}"/>
    <cellStyle name="Normal 2 14 2 4 2 3" xfId="2626" xr:uid="{00000000-0005-0000-0000-000049060000}"/>
    <cellStyle name="Normal 2 14 2 4 2 3 2" xfId="5363" xr:uid="{00000000-0005-0000-0000-00004A060000}"/>
    <cellStyle name="Normal 2 14 2 4 2 4" xfId="3524" xr:uid="{00000000-0005-0000-0000-00004B060000}"/>
    <cellStyle name="Normal 2 14 2 4 3" xfId="1287" xr:uid="{00000000-0005-0000-0000-00004C060000}"/>
    <cellStyle name="Normal 2 14 2 4 3 2" xfId="4024" xr:uid="{00000000-0005-0000-0000-00004D060000}"/>
    <cellStyle name="Normal 2 14 2 4 4" xfId="2179" xr:uid="{00000000-0005-0000-0000-00004E060000}"/>
    <cellStyle name="Normal 2 14 2 4 4 2" xfId="4916" xr:uid="{00000000-0005-0000-0000-00004F060000}"/>
    <cellStyle name="Normal 2 14 2 4 5" xfId="3077" xr:uid="{00000000-0005-0000-0000-000050060000}"/>
    <cellStyle name="Normal 2 14 2 5" xfId="381" xr:uid="{00000000-0005-0000-0000-000051060000}"/>
    <cellStyle name="Normal 2 14 2 5 2" xfId="829" xr:uid="{00000000-0005-0000-0000-000052060000}"/>
    <cellStyle name="Normal 2 14 2 5 2 2" xfId="1779" xr:uid="{00000000-0005-0000-0000-000053060000}"/>
    <cellStyle name="Normal 2 14 2 5 2 2 2" xfId="4516" xr:uid="{00000000-0005-0000-0000-000054060000}"/>
    <cellStyle name="Normal 2 14 2 5 2 3" xfId="2671" xr:uid="{00000000-0005-0000-0000-000055060000}"/>
    <cellStyle name="Normal 2 14 2 5 2 3 2" xfId="5408" xr:uid="{00000000-0005-0000-0000-000056060000}"/>
    <cellStyle name="Normal 2 14 2 5 2 4" xfId="3569" xr:uid="{00000000-0005-0000-0000-000057060000}"/>
    <cellStyle name="Normal 2 14 2 5 3" xfId="1332" xr:uid="{00000000-0005-0000-0000-000058060000}"/>
    <cellStyle name="Normal 2 14 2 5 3 2" xfId="4069" xr:uid="{00000000-0005-0000-0000-000059060000}"/>
    <cellStyle name="Normal 2 14 2 5 4" xfId="2224" xr:uid="{00000000-0005-0000-0000-00005A060000}"/>
    <cellStyle name="Normal 2 14 2 5 4 2" xfId="4961" xr:uid="{00000000-0005-0000-0000-00005B060000}"/>
    <cellStyle name="Normal 2 14 2 5 5" xfId="3122" xr:uid="{00000000-0005-0000-0000-00005C060000}"/>
    <cellStyle name="Normal 2 14 2 6" xfId="586" xr:uid="{00000000-0005-0000-0000-00005D060000}"/>
    <cellStyle name="Normal 2 14 2 6 2" xfId="1536" xr:uid="{00000000-0005-0000-0000-00005E060000}"/>
    <cellStyle name="Normal 2 14 2 6 2 2" xfId="4273" xr:uid="{00000000-0005-0000-0000-00005F060000}"/>
    <cellStyle name="Normal 2 14 2 6 3" xfId="2428" xr:uid="{00000000-0005-0000-0000-000060060000}"/>
    <cellStyle name="Normal 2 14 2 6 3 2" xfId="5165" xr:uid="{00000000-0005-0000-0000-000061060000}"/>
    <cellStyle name="Normal 2 14 2 6 4" xfId="3326" xr:uid="{00000000-0005-0000-0000-000062060000}"/>
    <cellStyle name="Normal 2 14 2 7" xfId="1034" xr:uid="{00000000-0005-0000-0000-000063060000}"/>
    <cellStyle name="Normal 2 14 2 7 2" xfId="3773" xr:uid="{00000000-0005-0000-0000-000064060000}"/>
    <cellStyle name="Normal 2 14 2 8" xfId="1083" xr:uid="{00000000-0005-0000-0000-000065060000}"/>
    <cellStyle name="Normal 2 14 2 8 2" xfId="3820" xr:uid="{00000000-0005-0000-0000-000066060000}"/>
    <cellStyle name="Normal 2 14 2 9" xfId="1975" xr:uid="{00000000-0005-0000-0000-000067060000}"/>
    <cellStyle name="Normal 2 14 2 9 2" xfId="4712" xr:uid="{00000000-0005-0000-0000-000068060000}"/>
    <cellStyle name="Normal 2 14 3" xfId="148" xr:uid="{00000000-0005-0000-0000-000069060000}"/>
    <cellStyle name="Normal 2 14 3 2" xfId="261" xr:uid="{00000000-0005-0000-0000-00006A060000}"/>
    <cellStyle name="Normal 2 14 3 2 2" xfId="515" xr:uid="{00000000-0005-0000-0000-00006B060000}"/>
    <cellStyle name="Normal 2 14 3 2 2 2" xfId="963" xr:uid="{00000000-0005-0000-0000-00006C060000}"/>
    <cellStyle name="Normal 2 14 3 2 2 2 2" xfId="1913" xr:uid="{00000000-0005-0000-0000-00006D060000}"/>
    <cellStyle name="Normal 2 14 3 2 2 2 2 2" xfId="4650" xr:uid="{00000000-0005-0000-0000-00006E060000}"/>
    <cellStyle name="Normal 2 14 3 2 2 2 3" xfId="2805" xr:uid="{00000000-0005-0000-0000-00006F060000}"/>
    <cellStyle name="Normal 2 14 3 2 2 2 3 2" xfId="5542" xr:uid="{00000000-0005-0000-0000-000070060000}"/>
    <cellStyle name="Normal 2 14 3 2 2 2 4" xfId="3703" xr:uid="{00000000-0005-0000-0000-000071060000}"/>
    <cellStyle name="Normal 2 14 3 2 2 3" xfId="1466" xr:uid="{00000000-0005-0000-0000-000072060000}"/>
    <cellStyle name="Normal 2 14 3 2 2 3 2" xfId="4203" xr:uid="{00000000-0005-0000-0000-000073060000}"/>
    <cellStyle name="Normal 2 14 3 2 2 4" xfId="2358" xr:uid="{00000000-0005-0000-0000-000074060000}"/>
    <cellStyle name="Normal 2 14 3 2 2 4 2" xfId="5095" xr:uid="{00000000-0005-0000-0000-000075060000}"/>
    <cellStyle name="Normal 2 14 3 2 2 5" xfId="3256" xr:uid="{00000000-0005-0000-0000-000076060000}"/>
    <cellStyle name="Normal 2 14 3 2 3" xfId="714" xr:uid="{00000000-0005-0000-0000-000077060000}"/>
    <cellStyle name="Normal 2 14 3 2 3 2" xfId="1664" xr:uid="{00000000-0005-0000-0000-000078060000}"/>
    <cellStyle name="Normal 2 14 3 2 3 2 2" xfId="4401" xr:uid="{00000000-0005-0000-0000-000079060000}"/>
    <cellStyle name="Normal 2 14 3 2 3 3" xfId="2556" xr:uid="{00000000-0005-0000-0000-00007A060000}"/>
    <cellStyle name="Normal 2 14 3 2 3 3 2" xfId="5293" xr:uid="{00000000-0005-0000-0000-00007B060000}"/>
    <cellStyle name="Normal 2 14 3 2 3 4" xfId="3454" xr:uid="{00000000-0005-0000-0000-00007C060000}"/>
    <cellStyle name="Normal 2 14 3 2 4" xfId="1217" xr:uid="{00000000-0005-0000-0000-00007D060000}"/>
    <cellStyle name="Normal 2 14 3 2 4 2" xfId="3954" xr:uid="{00000000-0005-0000-0000-00007E060000}"/>
    <cellStyle name="Normal 2 14 3 2 5" xfId="2109" xr:uid="{00000000-0005-0000-0000-00007F060000}"/>
    <cellStyle name="Normal 2 14 3 2 5 2" xfId="4846" xr:uid="{00000000-0005-0000-0000-000080060000}"/>
    <cellStyle name="Normal 2 14 3 2 6" xfId="3007" xr:uid="{00000000-0005-0000-0000-000081060000}"/>
    <cellStyle name="Normal 2 14 3 3" xfId="404" xr:uid="{00000000-0005-0000-0000-000082060000}"/>
    <cellStyle name="Normal 2 14 3 3 2" xfId="852" xr:uid="{00000000-0005-0000-0000-000083060000}"/>
    <cellStyle name="Normal 2 14 3 3 2 2" xfId="1802" xr:uid="{00000000-0005-0000-0000-000084060000}"/>
    <cellStyle name="Normal 2 14 3 3 2 2 2" xfId="4539" xr:uid="{00000000-0005-0000-0000-000085060000}"/>
    <cellStyle name="Normal 2 14 3 3 2 3" xfId="2694" xr:uid="{00000000-0005-0000-0000-000086060000}"/>
    <cellStyle name="Normal 2 14 3 3 2 3 2" xfId="5431" xr:uid="{00000000-0005-0000-0000-000087060000}"/>
    <cellStyle name="Normal 2 14 3 3 2 4" xfId="3592" xr:uid="{00000000-0005-0000-0000-000088060000}"/>
    <cellStyle name="Normal 2 14 3 3 3" xfId="1355" xr:uid="{00000000-0005-0000-0000-000089060000}"/>
    <cellStyle name="Normal 2 14 3 3 3 2" xfId="4092" xr:uid="{00000000-0005-0000-0000-00008A060000}"/>
    <cellStyle name="Normal 2 14 3 3 4" xfId="2247" xr:uid="{00000000-0005-0000-0000-00008B060000}"/>
    <cellStyle name="Normal 2 14 3 3 4 2" xfId="4984" xr:uid="{00000000-0005-0000-0000-00008C060000}"/>
    <cellStyle name="Normal 2 14 3 3 5" xfId="3145" xr:uid="{00000000-0005-0000-0000-00008D060000}"/>
    <cellStyle name="Normal 2 14 3 4" xfId="613" xr:uid="{00000000-0005-0000-0000-00008E060000}"/>
    <cellStyle name="Normal 2 14 3 4 2" xfId="1563" xr:uid="{00000000-0005-0000-0000-00008F060000}"/>
    <cellStyle name="Normal 2 14 3 4 2 2" xfId="4300" xr:uid="{00000000-0005-0000-0000-000090060000}"/>
    <cellStyle name="Normal 2 14 3 4 3" xfId="2455" xr:uid="{00000000-0005-0000-0000-000091060000}"/>
    <cellStyle name="Normal 2 14 3 4 3 2" xfId="5192" xr:uid="{00000000-0005-0000-0000-000092060000}"/>
    <cellStyle name="Normal 2 14 3 4 4" xfId="3353" xr:uid="{00000000-0005-0000-0000-000093060000}"/>
    <cellStyle name="Normal 2 14 3 5" xfId="1106" xr:uid="{00000000-0005-0000-0000-000094060000}"/>
    <cellStyle name="Normal 2 14 3 5 2" xfId="3843" xr:uid="{00000000-0005-0000-0000-000095060000}"/>
    <cellStyle name="Normal 2 14 3 6" xfId="1998" xr:uid="{00000000-0005-0000-0000-000096060000}"/>
    <cellStyle name="Normal 2 14 3 6 2" xfId="4735" xr:uid="{00000000-0005-0000-0000-000097060000}"/>
    <cellStyle name="Normal 2 14 3 7" xfId="2896" xr:uid="{00000000-0005-0000-0000-000098060000}"/>
    <cellStyle name="Normal 2 14 4" xfId="192" xr:uid="{00000000-0005-0000-0000-000099060000}"/>
    <cellStyle name="Normal 2 14 4 2" xfId="447" xr:uid="{00000000-0005-0000-0000-00009A060000}"/>
    <cellStyle name="Normal 2 14 4 2 2" xfId="895" xr:uid="{00000000-0005-0000-0000-00009B060000}"/>
    <cellStyle name="Normal 2 14 4 2 2 2" xfId="1845" xr:uid="{00000000-0005-0000-0000-00009C060000}"/>
    <cellStyle name="Normal 2 14 4 2 2 2 2" xfId="4582" xr:uid="{00000000-0005-0000-0000-00009D060000}"/>
    <cellStyle name="Normal 2 14 4 2 2 3" xfId="2737" xr:uid="{00000000-0005-0000-0000-00009E060000}"/>
    <cellStyle name="Normal 2 14 4 2 2 3 2" xfId="5474" xr:uid="{00000000-0005-0000-0000-00009F060000}"/>
    <cellStyle name="Normal 2 14 4 2 2 4" xfId="3635" xr:uid="{00000000-0005-0000-0000-0000A0060000}"/>
    <cellStyle name="Normal 2 14 4 2 3" xfId="1398" xr:uid="{00000000-0005-0000-0000-0000A1060000}"/>
    <cellStyle name="Normal 2 14 4 2 3 2" xfId="4135" xr:uid="{00000000-0005-0000-0000-0000A2060000}"/>
    <cellStyle name="Normal 2 14 4 2 4" xfId="2290" xr:uid="{00000000-0005-0000-0000-0000A3060000}"/>
    <cellStyle name="Normal 2 14 4 2 4 2" xfId="5027" xr:uid="{00000000-0005-0000-0000-0000A4060000}"/>
    <cellStyle name="Normal 2 14 4 2 5" xfId="3188" xr:uid="{00000000-0005-0000-0000-0000A5060000}"/>
    <cellStyle name="Normal 2 14 4 3" xfId="650" xr:uid="{00000000-0005-0000-0000-0000A6060000}"/>
    <cellStyle name="Normal 2 14 4 3 2" xfId="1600" xr:uid="{00000000-0005-0000-0000-0000A7060000}"/>
    <cellStyle name="Normal 2 14 4 3 2 2" xfId="4337" xr:uid="{00000000-0005-0000-0000-0000A8060000}"/>
    <cellStyle name="Normal 2 14 4 3 3" xfId="2492" xr:uid="{00000000-0005-0000-0000-0000A9060000}"/>
    <cellStyle name="Normal 2 14 4 3 3 2" xfId="5229" xr:uid="{00000000-0005-0000-0000-0000AA060000}"/>
    <cellStyle name="Normal 2 14 4 3 4" xfId="3390" xr:uid="{00000000-0005-0000-0000-0000AB060000}"/>
    <cellStyle name="Normal 2 14 4 4" xfId="1149" xr:uid="{00000000-0005-0000-0000-0000AC060000}"/>
    <cellStyle name="Normal 2 14 4 4 2" xfId="3886" xr:uid="{00000000-0005-0000-0000-0000AD060000}"/>
    <cellStyle name="Normal 2 14 4 5" xfId="2041" xr:uid="{00000000-0005-0000-0000-0000AE060000}"/>
    <cellStyle name="Normal 2 14 4 5 2" xfId="4778" xr:uid="{00000000-0005-0000-0000-0000AF060000}"/>
    <cellStyle name="Normal 2 14 4 6" xfId="2939" xr:uid="{00000000-0005-0000-0000-0000B0060000}"/>
    <cellStyle name="Normal 2 14 5" xfId="220" xr:uid="{00000000-0005-0000-0000-0000B1060000}"/>
    <cellStyle name="Normal 2 14 5 2" xfId="474" xr:uid="{00000000-0005-0000-0000-0000B2060000}"/>
    <cellStyle name="Normal 2 14 5 2 2" xfId="922" xr:uid="{00000000-0005-0000-0000-0000B3060000}"/>
    <cellStyle name="Normal 2 14 5 2 2 2" xfId="1872" xr:uid="{00000000-0005-0000-0000-0000B4060000}"/>
    <cellStyle name="Normal 2 14 5 2 2 2 2" xfId="4609" xr:uid="{00000000-0005-0000-0000-0000B5060000}"/>
    <cellStyle name="Normal 2 14 5 2 2 3" xfId="2764" xr:uid="{00000000-0005-0000-0000-0000B6060000}"/>
    <cellStyle name="Normal 2 14 5 2 2 3 2" xfId="5501" xr:uid="{00000000-0005-0000-0000-0000B7060000}"/>
    <cellStyle name="Normal 2 14 5 2 2 4" xfId="3662" xr:uid="{00000000-0005-0000-0000-0000B8060000}"/>
    <cellStyle name="Normal 2 14 5 2 3" xfId="1425" xr:uid="{00000000-0005-0000-0000-0000B9060000}"/>
    <cellStyle name="Normal 2 14 5 2 3 2" xfId="4162" xr:uid="{00000000-0005-0000-0000-0000BA060000}"/>
    <cellStyle name="Normal 2 14 5 2 4" xfId="2317" xr:uid="{00000000-0005-0000-0000-0000BB060000}"/>
    <cellStyle name="Normal 2 14 5 2 4 2" xfId="5054" xr:uid="{00000000-0005-0000-0000-0000BC060000}"/>
    <cellStyle name="Normal 2 14 5 2 5" xfId="3215" xr:uid="{00000000-0005-0000-0000-0000BD060000}"/>
    <cellStyle name="Normal 2 14 5 3" xfId="673" xr:uid="{00000000-0005-0000-0000-0000BE060000}"/>
    <cellStyle name="Normal 2 14 5 3 2" xfId="1623" xr:uid="{00000000-0005-0000-0000-0000BF060000}"/>
    <cellStyle name="Normal 2 14 5 3 2 2" xfId="4360" xr:uid="{00000000-0005-0000-0000-0000C0060000}"/>
    <cellStyle name="Normal 2 14 5 3 3" xfId="2515" xr:uid="{00000000-0005-0000-0000-0000C1060000}"/>
    <cellStyle name="Normal 2 14 5 3 3 2" xfId="5252" xr:uid="{00000000-0005-0000-0000-0000C2060000}"/>
    <cellStyle name="Normal 2 14 5 3 4" xfId="3413" xr:uid="{00000000-0005-0000-0000-0000C3060000}"/>
    <cellStyle name="Normal 2 14 5 4" xfId="1176" xr:uid="{00000000-0005-0000-0000-0000C4060000}"/>
    <cellStyle name="Normal 2 14 5 4 2" xfId="3913" xr:uid="{00000000-0005-0000-0000-0000C5060000}"/>
    <cellStyle name="Normal 2 14 5 5" xfId="2068" xr:uid="{00000000-0005-0000-0000-0000C6060000}"/>
    <cellStyle name="Normal 2 14 5 5 2" xfId="4805" xr:uid="{00000000-0005-0000-0000-0000C7060000}"/>
    <cellStyle name="Normal 2 14 5 6" xfId="2966" xr:uid="{00000000-0005-0000-0000-0000C8060000}"/>
    <cellStyle name="Normal 2 14 6" xfId="304" xr:uid="{00000000-0005-0000-0000-0000C9060000}"/>
    <cellStyle name="Normal 2 14 6 2" xfId="757" xr:uid="{00000000-0005-0000-0000-0000CA060000}"/>
    <cellStyle name="Normal 2 14 6 2 2" xfId="1707" xr:uid="{00000000-0005-0000-0000-0000CB060000}"/>
    <cellStyle name="Normal 2 14 6 2 2 2" xfId="4444" xr:uid="{00000000-0005-0000-0000-0000CC060000}"/>
    <cellStyle name="Normal 2 14 6 2 3" xfId="2599" xr:uid="{00000000-0005-0000-0000-0000CD060000}"/>
    <cellStyle name="Normal 2 14 6 2 3 2" xfId="5336" xr:uid="{00000000-0005-0000-0000-0000CE060000}"/>
    <cellStyle name="Normal 2 14 6 2 4" xfId="3497" xr:uid="{00000000-0005-0000-0000-0000CF060000}"/>
    <cellStyle name="Normal 2 14 6 3" xfId="1260" xr:uid="{00000000-0005-0000-0000-0000D0060000}"/>
    <cellStyle name="Normal 2 14 6 3 2" xfId="3997" xr:uid="{00000000-0005-0000-0000-0000D1060000}"/>
    <cellStyle name="Normal 2 14 6 4" xfId="2152" xr:uid="{00000000-0005-0000-0000-0000D2060000}"/>
    <cellStyle name="Normal 2 14 6 4 2" xfId="4889" xr:uid="{00000000-0005-0000-0000-0000D3060000}"/>
    <cellStyle name="Normal 2 14 6 5" xfId="3050" xr:uid="{00000000-0005-0000-0000-0000D4060000}"/>
    <cellStyle name="Normal 2 14 7" xfId="363" xr:uid="{00000000-0005-0000-0000-0000D5060000}"/>
    <cellStyle name="Normal 2 14 7 2" xfId="811" xr:uid="{00000000-0005-0000-0000-0000D6060000}"/>
    <cellStyle name="Normal 2 14 7 2 2" xfId="1761" xr:uid="{00000000-0005-0000-0000-0000D7060000}"/>
    <cellStyle name="Normal 2 14 7 2 2 2" xfId="4498" xr:uid="{00000000-0005-0000-0000-0000D8060000}"/>
    <cellStyle name="Normal 2 14 7 2 3" xfId="2653" xr:uid="{00000000-0005-0000-0000-0000D9060000}"/>
    <cellStyle name="Normal 2 14 7 2 3 2" xfId="5390" xr:uid="{00000000-0005-0000-0000-0000DA060000}"/>
    <cellStyle name="Normal 2 14 7 2 4" xfId="3551" xr:uid="{00000000-0005-0000-0000-0000DB060000}"/>
    <cellStyle name="Normal 2 14 7 3" xfId="1314" xr:uid="{00000000-0005-0000-0000-0000DC060000}"/>
    <cellStyle name="Normal 2 14 7 3 2" xfId="4051" xr:uid="{00000000-0005-0000-0000-0000DD060000}"/>
    <cellStyle name="Normal 2 14 7 4" xfId="2206" xr:uid="{00000000-0005-0000-0000-0000DE060000}"/>
    <cellStyle name="Normal 2 14 7 4 2" xfId="4943" xr:uid="{00000000-0005-0000-0000-0000DF060000}"/>
    <cellStyle name="Normal 2 14 7 5" xfId="3104" xr:uid="{00000000-0005-0000-0000-0000E0060000}"/>
    <cellStyle name="Normal 2 14 8" xfId="558" xr:uid="{00000000-0005-0000-0000-0000E1060000}"/>
    <cellStyle name="Normal 2 14 8 2" xfId="1509" xr:uid="{00000000-0005-0000-0000-0000E2060000}"/>
    <cellStyle name="Normal 2 14 8 2 2" xfId="4246" xr:uid="{00000000-0005-0000-0000-0000E3060000}"/>
    <cellStyle name="Normal 2 14 8 3" xfId="2401" xr:uid="{00000000-0005-0000-0000-0000E4060000}"/>
    <cellStyle name="Normal 2 14 8 3 2" xfId="5138" xr:uid="{00000000-0005-0000-0000-0000E5060000}"/>
    <cellStyle name="Normal 2 14 8 4" xfId="3299" xr:uid="{00000000-0005-0000-0000-0000E6060000}"/>
    <cellStyle name="Normal 2 14 9" xfId="1006" xr:uid="{00000000-0005-0000-0000-0000E7060000}"/>
    <cellStyle name="Normal 2 14 9 2" xfId="3746" xr:uid="{00000000-0005-0000-0000-0000E8060000}"/>
    <cellStyle name="Normal 2 15" xfId="105" xr:uid="{00000000-0005-0000-0000-0000E9060000}"/>
    <cellStyle name="Normal 2 15 10" xfId="1071" xr:uid="{00000000-0005-0000-0000-0000EA060000}"/>
    <cellStyle name="Normal 2 15 10 2" xfId="3808" xr:uid="{00000000-0005-0000-0000-0000EB060000}"/>
    <cellStyle name="Normal 2 15 11" xfId="1963" xr:uid="{00000000-0005-0000-0000-0000EC060000}"/>
    <cellStyle name="Normal 2 15 11 2" xfId="4700" xr:uid="{00000000-0005-0000-0000-0000ED060000}"/>
    <cellStyle name="Normal 2 15 12" xfId="2861" xr:uid="{00000000-0005-0000-0000-0000EE060000}"/>
    <cellStyle name="Normal 2 15 2" xfId="119" xr:uid="{00000000-0005-0000-0000-0000EF060000}"/>
    <cellStyle name="Normal 2 15 2 10" xfId="2874" xr:uid="{00000000-0005-0000-0000-0000F0060000}"/>
    <cellStyle name="Normal 2 15 2 2" xfId="167" xr:uid="{00000000-0005-0000-0000-0000F1060000}"/>
    <cellStyle name="Normal 2 15 2 2 2" xfId="280" xr:uid="{00000000-0005-0000-0000-0000F2060000}"/>
    <cellStyle name="Normal 2 15 2 2 2 2" xfId="534" xr:uid="{00000000-0005-0000-0000-0000F3060000}"/>
    <cellStyle name="Normal 2 15 2 2 2 2 2" xfId="982" xr:uid="{00000000-0005-0000-0000-0000F4060000}"/>
    <cellStyle name="Normal 2 15 2 2 2 2 2 2" xfId="1932" xr:uid="{00000000-0005-0000-0000-0000F5060000}"/>
    <cellStyle name="Normal 2 15 2 2 2 2 2 2 2" xfId="4669" xr:uid="{00000000-0005-0000-0000-0000F6060000}"/>
    <cellStyle name="Normal 2 15 2 2 2 2 2 3" xfId="2824" xr:uid="{00000000-0005-0000-0000-0000F7060000}"/>
    <cellStyle name="Normal 2 15 2 2 2 2 2 3 2" xfId="5561" xr:uid="{00000000-0005-0000-0000-0000F8060000}"/>
    <cellStyle name="Normal 2 15 2 2 2 2 2 4" xfId="3722" xr:uid="{00000000-0005-0000-0000-0000F9060000}"/>
    <cellStyle name="Normal 2 15 2 2 2 2 3" xfId="1485" xr:uid="{00000000-0005-0000-0000-0000FA060000}"/>
    <cellStyle name="Normal 2 15 2 2 2 2 3 2" xfId="4222" xr:uid="{00000000-0005-0000-0000-0000FB060000}"/>
    <cellStyle name="Normal 2 15 2 2 2 2 4" xfId="2377" xr:uid="{00000000-0005-0000-0000-0000FC060000}"/>
    <cellStyle name="Normal 2 15 2 2 2 2 4 2" xfId="5114" xr:uid="{00000000-0005-0000-0000-0000FD060000}"/>
    <cellStyle name="Normal 2 15 2 2 2 2 5" xfId="3275" xr:uid="{00000000-0005-0000-0000-0000FE060000}"/>
    <cellStyle name="Normal 2 15 2 2 2 3" xfId="733" xr:uid="{00000000-0005-0000-0000-0000FF060000}"/>
    <cellStyle name="Normal 2 15 2 2 2 3 2" xfId="1683" xr:uid="{00000000-0005-0000-0000-000000070000}"/>
    <cellStyle name="Normal 2 15 2 2 2 3 2 2" xfId="4420" xr:uid="{00000000-0005-0000-0000-000001070000}"/>
    <cellStyle name="Normal 2 15 2 2 2 3 3" xfId="2575" xr:uid="{00000000-0005-0000-0000-000002070000}"/>
    <cellStyle name="Normal 2 15 2 2 2 3 3 2" xfId="5312" xr:uid="{00000000-0005-0000-0000-000003070000}"/>
    <cellStyle name="Normal 2 15 2 2 2 3 4" xfId="3473" xr:uid="{00000000-0005-0000-0000-000004070000}"/>
    <cellStyle name="Normal 2 15 2 2 2 4" xfId="1236" xr:uid="{00000000-0005-0000-0000-000005070000}"/>
    <cellStyle name="Normal 2 15 2 2 2 4 2" xfId="3973" xr:uid="{00000000-0005-0000-0000-000006070000}"/>
    <cellStyle name="Normal 2 15 2 2 2 5" xfId="2128" xr:uid="{00000000-0005-0000-0000-000007070000}"/>
    <cellStyle name="Normal 2 15 2 2 2 5 2" xfId="4865" xr:uid="{00000000-0005-0000-0000-000008070000}"/>
    <cellStyle name="Normal 2 15 2 2 2 6" xfId="3026" xr:uid="{00000000-0005-0000-0000-000009070000}"/>
    <cellStyle name="Normal 2 15 2 2 3" xfId="423" xr:uid="{00000000-0005-0000-0000-00000A070000}"/>
    <cellStyle name="Normal 2 15 2 2 3 2" xfId="871" xr:uid="{00000000-0005-0000-0000-00000B070000}"/>
    <cellStyle name="Normal 2 15 2 2 3 2 2" xfId="1821" xr:uid="{00000000-0005-0000-0000-00000C070000}"/>
    <cellStyle name="Normal 2 15 2 2 3 2 2 2" xfId="4558" xr:uid="{00000000-0005-0000-0000-00000D070000}"/>
    <cellStyle name="Normal 2 15 2 2 3 2 3" xfId="2713" xr:uid="{00000000-0005-0000-0000-00000E070000}"/>
    <cellStyle name="Normal 2 15 2 2 3 2 3 2" xfId="5450" xr:uid="{00000000-0005-0000-0000-00000F070000}"/>
    <cellStyle name="Normal 2 15 2 2 3 2 4" xfId="3611" xr:uid="{00000000-0005-0000-0000-000010070000}"/>
    <cellStyle name="Normal 2 15 2 2 3 3" xfId="1374" xr:uid="{00000000-0005-0000-0000-000011070000}"/>
    <cellStyle name="Normal 2 15 2 2 3 3 2" xfId="4111" xr:uid="{00000000-0005-0000-0000-000012070000}"/>
    <cellStyle name="Normal 2 15 2 2 3 4" xfId="2266" xr:uid="{00000000-0005-0000-0000-000013070000}"/>
    <cellStyle name="Normal 2 15 2 2 3 4 2" xfId="5003" xr:uid="{00000000-0005-0000-0000-000014070000}"/>
    <cellStyle name="Normal 2 15 2 2 3 5" xfId="3164" xr:uid="{00000000-0005-0000-0000-000015070000}"/>
    <cellStyle name="Normal 2 15 2 2 4" xfId="632" xr:uid="{00000000-0005-0000-0000-000016070000}"/>
    <cellStyle name="Normal 2 15 2 2 4 2" xfId="1582" xr:uid="{00000000-0005-0000-0000-000017070000}"/>
    <cellStyle name="Normal 2 15 2 2 4 2 2" xfId="4319" xr:uid="{00000000-0005-0000-0000-000018070000}"/>
    <cellStyle name="Normal 2 15 2 2 4 3" xfId="2474" xr:uid="{00000000-0005-0000-0000-000019070000}"/>
    <cellStyle name="Normal 2 15 2 2 4 3 2" xfId="5211" xr:uid="{00000000-0005-0000-0000-00001A070000}"/>
    <cellStyle name="Normal 2 15 2 2 4 4" xfId="3372" xr:uid="{00000000-0005-0000-0000-00001B070000}"/>
    <cellStyle name="Normal 2 15 2 2 5" xfId="1125" xr:uid="{00000000-0005-0000-0000-00001C070000}"/>
    <cellStyle name="Normal 2 15 2 2 5 2" xfId="3862" xr:uid="{00000000-0005-0000-0000-00001D070000}"/>
    <cellStyle name="Normal 2 15 2 2 6" xfId="2017" xr:uid="{00000000-0005-0000-0000-00001E070000}"/>
    <cellStyle name="Normal 2 15 2 2 6 2" xfId="4754" xr:uid="{00000000-0005-0000-0000-00001F070000}"/>
    <cellStyle name="Normal 2 15 2 2 7" xfId="2915" xr:uid="{00000000-0005-0000-0000-000020070000}"/>
    <cellStyle name="Normal 2 15 2 3" xfId="239" xr:uid="{00000000-0005-0000-0000-000021070000}"/>
    <cellStyle name="Normal 2 15 2 3 2" xfId="493" xr:uid="{00000000-0005-0000-0000-000022070000}"/>
    <cellStyle name="Normal 2 15 2 3 2 2" xfId="941" xr:uid="{00000000-0005-0000-0000-000023070000}"/>
    <cellStyle name="Normal 2 15 2 3 2 2 2" xfId="1891" xr:uid="{00000000-0005-0000-0000-000024070000}"/>
    <cellStyle name="Normal 2 15 2 3 2 2 2 2" xfId="4628" xr:uid="{00000000-0005-0000-0000-000025070000}"/>
    <cellStyle name="Normal 2 15 2 3 2 2 3" xfId="2783" xr:uid="{00000000-0005-0000-0000-000026070000}"/>
    <cellStyle name="Normal 2 15 2 3 2 2 3 2" xfId="5520" xr:uid="{00000000-0005-0000-0000-000027070000}"/>
    <cellStyle name="Normal 2 15 2 3 2 2 4" xfId="3681" xr:uid="{00000000-0005-0000-0000-000028070000}"/>
    <cellStyle name="Normal 2 15 2 3 2 3" xfId="1444" xr:uid="{00000000-0005-0000-0000-000029070000}"/>
    <cellStyle name="Normal 2 15 2 3 2 3 2" xfId="4181" xr:uid="{00000000-0005-0000-0000-00002A070000}"/>
    <cellStyle name="Normal 2 15 2 3 2 4" xfId="2336" xr:uid="{00000000-0005-0000-0000-00002B070000}"/>
    <cellStyle name="Normal 2 15 2 3 2 4 2" xfId="5073" xr:uid="{00000000-0005-0000-0000-00002C070000}"/>
    <cellStyle name="Normal 2 15 2 3 2 5" xfId="3234" xr:uid="{00000000-0005-0000-0000-00002D070000}"/>
    <cellStyle name="Normal 2 15 2 3 3" xfId="692" xr:uid="{00000000-0005-0000-0000-00002E070000}"/>
    <cellStyle name="Normal 2 15 2 3 3 2" xfId="1642" xr:uid="{00000000-0005-0000-0000-00002F070000}"/>
    <cellStyle name="Normal 2 15 2 3 3 2 2" xfId="4379" xr:uid="{00000000-0005-0000-0000-000030070000}"/>
    <cellStyle name="Normal 2 15 2 3 3 3" xfId="2534" xr:uid="{00000000-0005-0000-0000-000031070000}"/>
    <cellStyle name="Normal 2 15 2 3 3 3 2" xfId="5271" xr:uid="{00000000-0005-0000-0000-000032070000}"/>
    <cellStyle name="Normal 2 15 2 3 3 4" xfId="3432" xr:uid="{00000000-0005-0000-0000-000033070000}"/>
    <cellStyle name="Normal 2 15 2 3 4" xfId="1195" xr:uid="{00000000-0005-0000-0000-000034070000}"/>
    <cellStyle name="Normal 2 15 2 3 4 2" xfId="3932" xr:uid="{00000000-0005-0000-0000-000035070000}"/>
    <cellStyle name="Normal 2 15 2 3 5" xfId="2087" xr:uid="{00000000-0005-0000-0000-000036070000}"/>
    <cellStyle name="Normal 2 15 2 3 5 2" xfId="4824" xr:uid="{00000000-0005-0000-0000-000037070000}"/>
    <cellStyle name="Normal 2 15 2 3 6" xfId="2985" xr:uid="{00000000-0005-0000-0000-000038070000}"/>
    <cellStyle name="Normal 2 15 2 4" xfId="332" xr:uid="{00000000-0005-0000-0000-000039070000}"/>
    <cellStyle name="Normal 2 15 2 4 2" xfId="785" xr:uid="{00000000-0005-0000-0000-00003A070000}"/>
    <cellStyle name="Normal 2 15 2 4 2 2" xfId="1735" xr:uid="{00000000-0005-0000-0000-00003B070000}"/>
    <cellStyle name="Normal 2 15 2 4 2 2 2" xfId="4472" xr:uid="{00000000-0005-0000-0000-00003C070000}"/>
    <cellStyle name="Normal 2 15 2 4 2 3" xfId="2627" xr:uid="{00000000-0005-0000-0000-00003D070000}"/>
    <cellStyle name="Normal 2 15 2 4 2 3 2" xfId="5364" xr:uid="{00000000-0005-0000-0000-00003E070000}"/>
    <cellStyle name="Normal 2 15 2 4 2 4" xfId="3525" xr:uid="{00000000-0005-0000-0000-00003F070000}"/>
    <cellStyle name="Normal 2 15 2 4 3" xfId="1288" xr:uid="{00000000-0005-0000-0000-000040070000}"/>
    <cellStyle name="Normal 2 15 2 4 3 2" xfId="4025" xr:uid="{00000000-0005-0000-0000-000041070000}"/>
    <cellStyle name="Normal 2 15 2 4 4" xfId="2180" xr:uid="{00000000-0005-0000-0000-000042070000}"/>
    <cellStyle name="Normal 2 15 2 4 4 2" xfId="4917" xr:uid="{00000000-0005-0000-0000-000043070000}"/>
    <cellStyle name="Normal 2 15 2 4 5" xfId="3078" xr:uid="{00000000-0005-0000-0000-000044070000}"/>
    <cellStyle name="Normal 2 15 2 5" xfId="382" xr:uid="{00000000-0005-0000-0000-000045070000}"/>
    <cellStyle name="Normal 2 15 2 5 2" xfId="830" xr:uid="{00000000-0005-0000-0000-000046070000}"/>
    <cellStyle name="Normal 2 15 2 5 2 2" xfId="1780" xr:uid="{00000000-0005-0000-0000-000047070000}"/>
    <cellStyle name="Normal 2 15 2 5 2 2 2" xfId="4517" xr:uid="{00000000-0005-0000-0000-000048070000}"/>
    <cellStyle name="Normal 2 15 2 5 2 3" xfId="2672" xr:uid="{00000000-0005-0000-0000-000049070000}"/>
    <cellStyle name="Normal 2 15 2 5 2 3 2" xfId="5409" xr:uid="{00000000-0005-0000-0000-00004A070000}"/>
    <cellStyle name="Normal 2 15 2 5 2 4" xfId="3570" xr:uid="{00000000-0005-0000-0000-00004B070000}"/>
    <cellStyle name="Normal 2 15 2 5 3" xfId="1333" xr:uid="{00000000-0005-0000-0000-00004C070000}"/>
    <cellStyle name="Normal 2 15 2 5 3 2" xfId="4070" xr:uid="{00000000-0005-0000-0000-00004D070000}"/>
    <cellStyle name="Normal 2 15 2 5 4" xfId="2225" xr:uid="{00000000-0005-0000-0000-00004E070000}"/>
    <cellStyle name="Normal 2 15 2 5 4 2" xfId="4962" xr:uid="{00000000-0005-0000-0000-00004F070000}"/>
    <cellStyle name="Normal 2 15 2 5 5" xfId="3123" xr:uid="{00000000-0005-0000-0000-000050070000}"/>
    <cellStyle name="Normal 2 15 2 6" xfId="587" xr:uid="{00000000-0005-0000-0000-000051070000}"/>
    <cellStyle name="Normal 2 15 2 6 2" xfId="1537" xr:uid="{00000000-0005-0000-0000-000052070000}"/>
    <cellStyle name="Normal 2 15 2 6 2 2" xfId="4274" xr:uid="{00000000-0005-0000-0000-000053070000}"/>
    <cellStyle name="Normal 2 15 2 6 3" xfId="2429" xr:uid="{00000000-0005-0000-0000-000054070000}"/>
    <cellStyle name="Normal 2 15 2 6 3 2" xfId="5166" xr:uid="{00000000-0005-0000-0000-000055070000}"/>
    <cellStyle name="Normal 2 15 2 6 4" xfId="3327" xr:uid="{00000000-0005-0000-0000-000056070000}"/>
    <cellStyle name="Normal 2 15 2 7" xfId="1035" xr:uid="{00000000-0005-0000-0000-000057070000}"/>
    <cellStyle name="Normal 2 15 2 7 2" xfId="3774" xr:uid="{00000000-0005-0000-0000-000058070000}"/>
    <cellStyle name="Normal 2 15 2 8" xfId="1084" xr:uid="{00000000-0005-0000-0000-000059070000}"/>
    <cellStyle name="Normal 2 15 2 8 2" xfId="3821" xr:uid="{00000000-0005-0000-0000-00005A070000}"/>
    <cellStyle name="Normal 2 15 2 9" xfId="1976" xr:uid="{00000000-0005-0000-0000-00005B070000}"/>
    <cellStyle name="Normal 2 15 2 9 2" xfId="4713" xr:uid="{00000000-0005-0000-0000-00005C070000}"/>
    <cellStyle name="Normal 2 15 3" xfId="154" xr:uid="{00000000-0005-0000-0000-00005D070000}"/>
    <cellStyle name="Normal 2 15 3 2" xfId="267" xr:uid="{00000000-0005-0000-0000-00005E070000}"/>
    <cellStyle name="Normal 2 15 3 2 2" xfId="521" xr:uid="{00000000-0005-0000-0000-00005F070000}"/>
    <cellStyle name="Normal 2 15 3 2 2 2" xfId="969" xr:uid="{00000000-0005-0000-0000-000060070000}"/>
    <cellStyle name="Normal 2 15 3 2 2 2 2" xfId="1919" xr:uid="{00000000-0005-0000-0000-000061070000}"/>
    <cellStyle name="Normal 2 15 3 2 2 2 2 2" xfId="4656" xr:uid="{00000000-0005-0000-0000-000062070000}"/>
    <cellStyle name="Normal 2 15 3 2 2 2 3" xfId="2811" xr:uid="{00000000-0005-0000-0000-000063070000}"/>
    <cellStyle name="Normal 2 15 3 2 2 2 3 2" xfId="5548" xr:uid="{00000000-0005-0000-0000-000064070000}"/>
    <cellStyle name="Normal 2 15 3 2 2 2 4" xfId="3709" xr:uid="{00000000-0005-0000-0000-000065070000}"/>
    <cellStyle name="Normal 2 15 3 2 2 3" xfId="1472" xr:uid="{00000000-0005-0000-0000-000066070000}"/>
    <cellStyle name="Normal 2 15 3 2 2 3 2" xfId="4209" xr:uid="{00000000-0005-0000-0000-000067070000}"/>
    <cellStyle name="Normal 2 15 3 2 2 4" xfId="2364" xr:uid="{00000000-0005-0000-0000-000068070000}"/>
    <cellStyle name="Normal 2 15 3 2 2 4 2" xfId="5101" xr:uid="{00000000-0005-0000-0000-000069070000}"/>
    <cellStyle name="Normal 2 15 3 2 2 5" xfId="3262" xr:uid="{00000000-0005-0000-0000-00006A070000}"/>
    <cellStyle name="Normal 2 15 3 2 3" xfId="720" xr:uid="{00000000-0005-0000-0000-00006B070000}"/>
    <cellStyle name="Normal 2 15 3 2 3 2" xfId="1670" xr:uid="{00000000-0005-0000-0000-00006C070000}"/>
    <cellStyle name="Normal 2 15 3 2 3 2 2" xfId="4407" xr:uid="{00000000-0005-0000-0000-00006D070000}"/>
    <cellStyle name="Normal 2 15 3 2 3 3" xfId="2562" xr:uid="{00000000-0005-0000-0000-00006E070000}"/>
    <cellStyle name="Normal 2 15 3 2 3 3 2" xfId="5299" xr:uid="{00000000-0005-0000-0000-00006F070000}"/>
    <cellStyle name="Normal 2 15 3 2 3 4" xfId="3460" xr:uid="{00000000-0005-0000-0000-000070070000}"/>
    <cellStyle name="Normal 2 15 3 2 4" xfId="1223" xr:uid="{00000000-0005-0000-0000-000071070000}"/>
    <cellStyle name="Normal 2 15 3 2 4 2" xfId="3960" xr:uid="{00000000-0005-0000-0000-000072070000}"/>
    <cellStyle name="Normal 2 15 3 2 5" xfId="2115" xr:uid="{00000000-0005-0000-0000-000073070000}"/>
    <cellStyle name="Normal 2 15 3 2 5 2" xfId="4852" xr:uid="{00000000-0005-0000-0000-000074070000}"/>
    <cellStyle name="Normal 2 15 3 2 6" xfId="3013" xr:uid="{00000000-0005-0000-0000-000075070000}"/>
    <cellStyle name="Normal 2 15 3 3" xfId="410" xr:uid="{00000000-0005-0000-0000-000076070000}"/>
    <cellStyle name="Normal 2 15 3 3 2" xfId="858" xr:uid="{00000000-0005-0000-0000-000077070000}"/>
    <cellStyle name="Normal 2 15 3 3 2 2" xfId="1808" xr:uid="{00000000-0005-0000-0000-000078070000}"/>
    <cellStyle name="Normal 2 15 3 3 2 2 2" xfId="4545" xr:uid="{00000000-0005-0000-0000-000079070000}"/>
    <cellStyle name="Normal 2 15 3 3 2 3" xfId="2700" xr:uid="{00000000-0005-0000-0000-00007A070000}"/>
    <cellStyle name="Normal 2 15 3 3 2 3 2" xfId="5437" xr:uid="{00000000-0005-0000-0000-00007B070000}"/>
    <cellStyle name="Normal 2 15 3 3 2 4" xfId="3598" xr:uid="{00000000-0005-0000-0000-00007C070000}"/>
    <cellStyle name="Normal 2 15 3 3 3" xfId="1361" xr:uid="{00000000-0005-0000-0000-00007D070000}"/>
    <cellStyle name="Normal 2 15 3 3 3 2" xfId="4098" xr:uid="{00000000-0005-0000-0000-00007E070000}"/>
    <cellStyle name="Normal 2 15 3 3 4" xfId="2253" xr:uid="{00000000-0005-0000-0000-00007F070000}"/>
    <cellStyle name="Normal 2 15 3 3 4 2" xfId="4990" xr:uid="{00000000-0005-0000-0000-000080070000}"/>
    <cellStyle name="Normal 2 15 3 3 5" xfId="3151" xr:uid="{00000000-0005-0000-0000-000081070000}"/>
    <cellStyle name="Normal 2 15 3 4" xfId="619" xr:uid="{00000000-0005-0000-0000-000082070000}"/>
    <cellStyle name="Normal 2 15 3 4 2" xfId="1569" xr:uid="{00000000-0005-0000-0000-000083070000}"/>
    <cellStyle name="Normal 2 15 3 4 2 2" xfId="4306" xr:uid="{00000000-0005-0000-0000-000084070000}"/>
    <cellStyle name="Normal 2 15 3 4 3" xfId="2461" xr:uid="{00000000-0005-0000-0000-000085070000}"/>
    <cellStyle name="Normal 2 15 3 4 3 2" xfId="5198" xr:uid="{00000000-0005-0000-0000-000086070000}"/>
    <cellStyle name="Normal 2 15 3 4 4" xfId="3359" xr:uid="{00000000-0005-0000-0000-000087070000}"/>
    <cellStyle name="Normal 2 15 3 5" xfId="1112" xr:uid="{00000000-0005-0000-0000-000088070000}"/>
    <cellStyle name="Normal 2 15 3 5 2" xfId="3849" xr:uid="{00000000-0005-0000-0000-000089070000}"/>
    <cellStyle name="Normal 2 15 3 6" xfId="2004" xr:uid="{00000000-0005-0000-0000-00008A070000}"/>
    <cellStyle name="Normal 2 15 3 6 2" xfId="4741" xr:uid="{00000000-0005-0000-0000-00008B070000}"/>
    <cellStyle name="Normal 2 15 3 7" xfId="2902" xr:uid="{00000000-0005-0000-0000-00008C070000}"/>
    <cellStyle name="Normal 2 15 4" xfId="193" xr:uid="{00000000-0005-0000-0000-00008D070000}"/>
    <cellStyle name="Normal 2 15 4 2" xfId="448" xr:uid="{00000000-0005-0000-0000-00008E070000}"/>
    <cellStyle name="Normal 2 15 4 2 2" xfId="896" xr:uid="{00000000-0005-0000-0000-00008F070000}"/>
    <cellStyle name="Normal 2 15 4 2 2 2" xfId="1846" xr:uid="{00000000-0005-0000-0000-000090070000}"/>
    <cellStyle name="Normal 2 15 4 2 2 2 2" xfId="4583" xr:uid="{00000000-0005-0000-0000-000091070000}"/>
    <cellStyle name="Normal 2 15 4 2 2 3" xfId="2738" xr:uid="{00000000-0005-0000-0000-000092070000}"/>
    <cellStyle name="Normal 2 15 4 2 2 3 2" xfId="5475" xr:uid="{00000000-0005-0000-0000-000093070000}"/>
    <cellStyle name="Normal 2 15 4 2 2 4" xfId="3636" xr:uid="{00000000-0005-0000-0000-000094070000}"/>
    <cellStyle name="Normal 2 15 4 2 3" xfId="1399" xr:uid="{00000000-0005-0000-0000-000095070000}"/>
    <cellStyle name="Normal 2 15 4 2 3 2" xfId="4136" xr:uid="{00000000-0005-0000-0000-000096070000}"/>
    <cellStyle name="Normal 2 15 4 2 4" xfId="2291" xr:uid="{00000000-0005-0000-0000-000097070000}"/>
    <cellStyle name="Normal 2 15 4 2 4 2" xfId="5028" xr:uid="{00000000-0005-0000-0000-000098070000}"/>
    <cellStyle name="Normal 2 15 4 2 5" xfId="3189" xr:uid="{00000000-0005-0000-0000-000099070000}"/>
    <cellStyle name="Normal 2 15 4 3" xfId="651" xr:uid="{00000000-0005-0000-0000-00009A070000}"/>
    <cellStyle name="Normal 2 15 4 3 2" xfId="1601" xr:uid="{00000000-0005-0000-0000-00009B070000}"/>
    <cellStyle name="Normal 2 15 4 3 2 2" xfId="4338" xr:uid="{00000000-0005-0000-0000-00009C070000}"/>
    <cellStyle name="Normal 2 15 4 3 3" xfId="2493" xr:uid="{00000000-0005-0000-0000-00009D070000}"/>
    <cellStyle name="Normal 2 15 4 3 3 2" xfId="5230" xr:uid="{00000000-0005-0000-0000-00009E070000}"/>
    <cellStyle name="Normal 2 15 4 3 4" xfId="3391" xr:uid="{00000000-0005-0000-0000-00009F070000}"/>
    <cellStyle name="Normal 2 15 4 4" xfId="1150" xr:uid="{00000000-0005-0000-0000-0000A0070000}"/>
    <cellStyle name="Normal 2 15 4 4 2" xfId="3887" xr:uid="{00000000-0005-0000-0000-0000A1070000}"/>
    <cellStyle name="Normal 2 15 4 5" xfId="2042" xr:uid="{00000000-0005-0000-0000-0000A2070000}"/>
    <cellStyle name="Normal 2 15 4 5 2" xfId="4779" xr:uid="{00000000-0005-0000-0000-0000A3070000}"/>
    <cellStyle name="Normal 2 15 4 6" xfId="2940" xr:uid="{00000000-0005-0000-0000-0000A4070000}"/>
    <cellStyle name="Normal 2 15 5" xfId="226" xr:uid="{00000000-0005-0000-0000-0000A5070000}"/>
    <cellStyle name="Normal 2 15 5 2" xfId="480" xr:uid="{00000000-0005-0000-0000-0000A6070000}"/>
    <cellStyle name="Normal 2 15 5 2 2" xfId="928" xr:uid="{00000000-0005-0000-0000-0000A7070000}"/>
    <cellStyle name="Normal 2 15 5 2 2 2" xfId="1878" xr:uid="{00000000-0005-0000-0000-0000A8070000}"/>
    <cellStyle name="Normal 2 15 5 2 2 2 2" xfId="4615" xr:uid="{00000000-0005-0000-0000-0000A9070000}"/>
    <cellStyle name="Normal 2 15 5 2 2 3" xfId="2770" xr:uid="{00000000-0005-0000-0000-0000AA070000}"/>
    <cellStyle name="Normal 2 15 5 2 2 3 2" xfId="5507" xr:uid="{00000000-0005-0000-0000-0000AB070000}"/>
    <cellStyle name="Normal 2 15 5 2 2 4" xfId="3668" xr:uid="{00000000-0005-0000-0000-0000AC070000}"/>
    <cellStyle name="Normal 2 15 5 2 3" xfId="1431" xr:uid="{00000000-0005-0000-0000-0000AD070000}"/>
    <cellStyle name="Normal 2 15 5 2 3 2" xfId="4168" xr:uid="{00000000-0005-0000-0000-0000AE070000}"/>
    <cellStyle name="Normal 2 15 5 2 4" xfId="2323" xr:uid="{00000000-0005-0000-0000-0000AF070000}"/>
    <cellStyle name="Normal 2 15 5 2 4 2" xfId="5060" xr:uid="{00000000-0005-0000-0000-0000B0070000}"/>
    <cellStyle name="Normal 2 15 5 2 5" xfId="3221" xr:uid="{00000000-0005-0000-0000-0000B1070000}"/>
    <cellStyle name="Normal 2 15 5 3" xfId="679" xr:uid="{00000000-0005-0000-0000-0000B2070000}"/>
    <cellStyle name="Normal 2 15 5 3 2" xfId="1629" xr:uid="{00000000-0005-0000-0000-0000B3070000}"/>
    <cellStyle name="Normal 2 15 5 3 2 2" xfId="4366" xr:uid="{00000000-0005-0000-0000-0000B4070000}"/>
    <cellStyle name="Normal 2 15 5 3 3" xfId="2521" xr:uid="{00000000-0005-0000-0000-0000B5070000}"/>
    <cellStyle name="Normal 2 15 5 3 3 2" xfId="5258" xr:uid="{00000000-0005-0000-0000-0000B6070000}"/>
    <cellStyle name="Normal 2 15 5 3 4" xfId="3419" xr:uid="{00000000-0005-0000-0000-0000B7070000}"/>
    <cellStyle name="Normal 2 15 5 4" xfId="1182" xr:uid="{00000000-0005-0000-0000-0000B8070000}"/>
    <cellStyle name="Normal 2 15 5 4 2" xfId="3919" xr:uid="{00000000-0005-0000-0000-0000B9070000}"/>
    <cellStyle name="Normal 2 15 5 5" xfId="2074" xr:uid="{00000000-0005-0000-0000-0000BA070000}"/>
    <cellStyle name="Normal 2 15 5 5 2" xfId="4811" xr:uid="{00000000-0005-0000-0000-0000BB070000}"/>
    <cellStyle name="Normal 2 15 5 6" xfId="2972" xr:uid="{00000000-0005-0000-0000-0000BC070000}"/>
    <cellStyle name="Normal 2 15 6" xfId="305" xr:uid="{00000000-0005-0000-0000-0000BD070000}"/>
    <cellStyle name="Normal 2 15 6 2" xfId="758" xr:uid="{00000000-0005-0000-0000-0000BE070000}"/>
    <cellStyle name="Normal 2 15 6 2 2" xfId="1708" xr:uid="{00000000-0005-0000-0000-0000BF070000}"/>
    <cellStyle name="Normal 2 15 6 2 2 2" xfId="4445" xr:uid="{00000000-0005-0000-0000-0000C0070000}"/>
    <cellStyle name="Normal 2 15 6 2 3" xfId="2600" xr:uid="{00000000-0005-0000-0000-0000C1070000}"/>
    <cellStyle name="Normal 2 15 6 2 3 2" xfId="5337" xr:uid="{00000000-0005-0000-0000-0000C2070000}"/>
    <cellStyle name="Normal 2 15 6 2 4" xfId="3498" xr:uid="{00000000-0005-0000-0000-0000C3070000}"/>
    <cellStyle name="Normal 2 15 6 3" xfId="1261" xr:uid="{00000000-0005-0000-0000-0000C4070000}"/>
    <cellStyle name="Normal 2 15 6 3 2" xfId="3998" xr:uid="{00000000-0005-0000-0000-0000C5070000}"/>
    <cellStyle name="Normal 2 15 6 4" xfId="2153" xr:uid="{00000000-0005-0000-0000-0000C6070000}"/>
    <cellStyle name="Normal 2 15 6 4 2" xfId="4890" xr:uid="{00000000-0005-0000-0000-0000C7070000}"/>
    <cellStyle name="Normal 2 15 6 5" xfId="3051" xr:uid="{00000000-0005-0000-0000-0000C8070000}"/>
    <cellStyle name="Normal 2 15 7" xfId="369" xr:uid="{00000000-0005-0000-0000-0000C9070000}"/>
    <cellStyle name="Normal 2 15 7 2" xfId="817" xr:uid="{00000000-0005-0000-0000-0000CA070000}"/>
    <cellStyle name="Normal 2 15 7 2 2" xfId="1767" xr:uid="{00000000-0005-0000-0000-0000CB070000}"/>
    <cellStyle name="Normal 2 15 7 2 2 2" xfId="4504" xr:uid="{00000000-0005-0000-0000-0000CC070000}"/>
    <cellStyle name="Normal 2 15 7 2 3" xfId="2659" xr:uid="{00000000-0005-0000-0000-0000CD070000}"/>
    <cellStyle name="Normal 2 15 7 2 3 2" xfId="5396" xr:uid="{00000000-0005-0000-0000-0000CE070000}"/>
    <cellStyle name="Normal 2 15 7 2 4" xfId="3557" xr:uid="{00000000-0005-0000-0000-0000CF070000}"/>
    <cellStyle name="Normal 2 15 7 3" xfId="1320" xr:uid="{00000000-0005-0000-0000-0000D0070000}"/>
    <cellStyle name="Normal 2 15 7 3 2" xfId="4057" xr:uid="{00000000-0005-0000-0000-0000D1070000}"/>
    <cellStyle name="Normal 2 15 7 4" xfId="2212" xr:uid="{00000000-0005-0000-0000-0000D2070000}"/>
    <cellStyle name="Normal 2 15 7 4 2" xfId="4949" xr:uid="{00000000-0005-0000-0000-0000D3070000}"/>
    <cellStyle name="Normal 2 15 7 5" xfId="3110" xr:uid="{00000000-0005-0000-0000-0000D4070000}"/>
    <cellStyle name="Normal 2 15 8" xfId="559" xr:uid="{00000000-0005-0000-0000-0000D5070000}"/>
    <cellStyle name="Normal 2 15 8 2" xfId="1510" xr:uid="{00000000-0005-0000-0000-0000D6070000}"/>
    <cellStyle name="Normal 2 15 8 2 2" xfId="4247" xr:uid="{00000000-0005-0000-0000-0000D7070000}"/>
    <cellStyle name="Normal 2 15 8 3" xfId="2402" xr:uid="{00000000-0005-0000-0000-0000D8070000}"/>
    <cellStyle name="Normal 2 15 8 3 2" xfId="5139" xr:uid="{00000000-0005-0000-0000-0000D9070000}"/>
    <cellStyle name="Normal 2 15 8 4" xfId="3300" xr:uid="{00000000-0005-0000-0000-0000DA070000}"/>
    <cellStyle name="Normal 2 15 9" xfId="1007" xr:uid="{00000000-0005-0000-0000-0000DB070000}"/>
    <cellStyle name="Normal 2 15 9 2" xfId="3747" xr:uid="{00000000-0005-0000-0000-0000DC070000}"/>
    <cellStyle name="Normal 2 16" xfId="115" xr:uid="{00000000-0005-0000-0000-0000DD070000}"/>
    <cellStyle name="Normal 2 16 10" xfId="2870" xr:uid="{00000000-0005-0000-0000-0000DE070000}"/>
    <cellStyle name="Normal 2 16 2" xfId="163" xr:uid="{00000000-0005-0000-0000-0000DF070000}"/>
    <cellStyle name="Normal 2 16 2 2" xfId="276" xr:uid="{00000000-0005-0000-0000-0000E0070000}"/>
    <cellStyle name="Normal 2 16 2 2 2" xfId="530" xr:uid="{00000000-0005-0000-0000-0000E1070000}"/>
    <cellStyle name="Normal 2 16 2 2 2 2" xfId="978" xr:uid="{00000000-0005-0000-0000-0000E2070000}"/>
    <cellStyle name="Normal 2 16 2 2 2 2 2" xfId="1928" xr:uid="{00000000-0005-0000-0000-0000E3070000}"/>
    <cellStyle name="Normal 2 16 2 2 2 2 2 2" xfId="4665" xr:uid="{00000000-0005-0000-0000-0000E4070000}"/>
    <cellStyle name="Normal 2 16 2 2 2 2 3" xfId="2820" xr:uid="{00000000-0005-0000-0000-0000E5070000}"/>
    <cellStyle name="Normal 2 16 2 2 2 2 3 2" xfId="5557" xr:uid="{00000000-0005-0000-0000-0000E6070000}"/>
    <cellStyle name="Normal 2 16 2 2 2 2 4" xfId="3718" xr:uid="{00000000-0005-0000-0000-0000E7070000}"/>
    <cellStyle name="Normal 2 16 2 2 2 3" xfId="1481" xr:uid="{00000000-0005-0000-0000-0000E8070000}"/>
    <cellStyle name="Normal 2 16 2 2 2 3 2" xfId="4218" xr:uid="{00000000-0005-0000-0000-0000E9070000}"/>
    <cellStyle name="Normal 2 16 2 2 2 4" xfId="2373" xr:uid="{00000000-0005-0000-0000-0000EA070000}"/>
    <cellStyle name="Normal 2 16 2 2 2 4 2" xfId="5110" xr:uid="{00000000-0005-0000-0000-0000EB070000}"/>
    <cellStyle name="Normal 2 16 2 2 2 5" xfId="3271" xr:uid="{00000000-0005-0000-0000-0000EC070000}"/>
    <cellStyle name="Normal 2 16 2 2 3" xfId="729" xr:uid="{00000000-0005-0000-0000-0000ED070000}"/>
    <cellStyle name="Normal 2 16 2 2 3 2" xfId="1679" xr:uid="{00000000-0005-0000-0000-0000EE070000}"/>
    <cellStyle name="Normal 2 16 2 2 3 2 2" xfId="4416" xr:uid="{00000000-0005-0000-0000-0000EF070000}"/>
    <cellStyle name="Normal 2 16 2 2 3 3" xfId="2571" xr:uid="{00000000-0005-0000-0000-0000F0070000}"/>
    <cellStyle name="Normal 2 16 2 2 3 3 2" xfId="5308" xr:uid="{00000000-0005-0000-0000-0000F1070000}"/>
    <cellStyle name="Normal 2 16 2 2 3 4" xfId="3469" xr:uid="{00000000-0005-0000-0000-0000F2070000}"/>
    <cellStyle name="Normal 2 16 2 2 4" xfId="1232" xr:uid="{00000000-0005-0000-0000-0000F3070000}"/>
    <cellStyle name="Normal 2 16 2 2 4 2" xfId="3969" xr:uid="{00000000-0005-0000-0000-0000F4070000}"/>
    <cellStyle name="Normal 2 16 2 2 5" xfId="2124" xr:uid="{00000000-0005-0000-0000-0000F5070000}"/>
    <cellStyle name="Normal 2 16 2 2 5 2" xfId="4861" xr:uid="{00000000-0005-0000-0000-0000F6070000}"/>
    <cellStyle name="Normal 2 16 2 2 6" xfId="3022" xr:uid="{00000000-0005-0000-0000-0000F7070000}"/>
    <cellStyle name="Normal 2 16 2 3" xfId="419" xr:uid="{00000000-0005-0000-0000-0000F8070000}"/>
    <cellStyle name="Normal 2 16 2 3 2" xfId="867" xr:uid="{00000000-0005-0000-0000-0000F9070000}"/>
    <cellStyle name="Normal 2 16 2 3 2 2" xfId="1817" xr:uid="{00000000-0005-0000-0000-0000FA070000}"/>
    <cellStyle name="Normal 2 16 2 3 2 2 2" xfId="4554" xr:uid="{00000000-0005-0000-0000-0000FB070000}"/>
    <cellStyle name="Normal 2 16 2 3 2 3" xfId="2709" xr:uid="{00000000-0005-0000-0000-0000FC070000}"/>
    <cellStyle name="Normal 2 16 2 3 2 3 2" xfId="5446" xr:uid="{00000000-0005-0000-0000-0000FD070000}"/>
    <cellStyle name="Normal 2 16 2 3 2 4" xfId="3607" xr:uid="{00000000-0005-0000-0000-0000FE070000}"/>
    <cellStyle name="Normal 2 16 2 3 3" xfId="1370" xr:uid="{00000000-0005-0000-0000-0000FF070000}"/>
    <cellStyle name="Normal 2 16 2 3 3 2" xfId="4107" xr:uid="{00000000-0005-0000-0000-000000080000}"/>
    <cellStyle name="Normal 2 16 2 3 4" xfId="2262" xr:uid="{00000000-0005-0000-0000-000001080000}"/>
    <cellStyle name="Normal 2 16 2 3 4 2" xfId="4999" xr:uid="{00000000-0005-0000-0000-000002080000}"/>
    <cellStyle name="Normal 2 16 2 3 5" xfId="3160" xr:uid="{00000000-0005-0000-0000-000003080000}"/>
    <cellStyle name="Normal 2 16 2 4" xfId="628" xr:uid="{00000000-0005-0000-0000-000004080000}"/>
    <cellStyle name="Normal 2 16 2 4 2" xfId="1578" xr:uid="{00000000-0005-0000-0000-000005080000}"/>
    <cellStyle name="Normal 2 16 2 4 2 2" xfId="4315" xr:uid="{00000000-0005-0000-0000-000006080000}"/>
    <cellStyle name="Normal 2 16 2 4 3" xfId="2470" xr:uid="{00000000-0005-0000-0000-000007080000}"/>
    <cellStyle name="Normal 2 16 2 4 3 2" xfId="5207" xr:uid="{00000000-0005-0000-0000-000008080000}"/>
    <cellStyle name="Normal 2 16 2 4 4" xfId="3368" xr:uid="{00000000-0005-0000-0000-000009080000}"/>
    <cellStyle name="Normal 2 16 2 5" xfId="1121" xr:uid="{00000000-0005-0000-0000-00000A080000}"/>
    <cellStyle name="Normal 2 16 2 5 2" xfId="3858" xr:uid="{00000000-0005-0000-0000-00000B080000}"/>
    <cellStyle name="Normal 2 16 2 6" xfId="2013" xr:uid="{00000000-0005-0000-0000-00000C080000}"/>
    <cellStyle name="Normal 2 16 2 6 2" xfId="4750" xr:uid="{00000000-0005-0000-0000-00000D080000}"/>
    <cellStyle name="Normal 2 16 2 7" xfId="2911" xr:uid="{00000000-0005-0000-0000-00000E080000}"/>
    <cellStyle name="Normal 2 16 3" xfId="235" xr:uid="{00000000-0005-0000-0000-00000F080000}"/>
    <cellStyle name="Normal 2 16 3 2" xfId="489" xr:uid="{00000000-0005-0000-0000-000010080000}"/>
    <cellStyle name="Normal 2 16 3 2 2" xfId="937" xr:uid="{00000000-0005-0000-0000-000011080000}"/>
    <cellStyle name="Normal 2 16 3 2 2 2" xfId="1887" xr:uid="{00000000-0005-0000-0000-000012080000}"/>
    <cellStyle name="Normal 2 16 3 2 2 2 2" xfId="4624" xr:uid="{00000000-0005-0000-0000-000013080000}"/>
    <cellStyle name="Normal 2 16 3 2 2 3" xfId="2779" xr:uid="{00000000-0005-0000-0000-000014080000}"/>
    <cellStyle name="Normal 2 16 3 2 2 3 2" xfId="5516" xr:uid="{00000000-0005-0000-0000-000015080000}"/>
    <cellStyle name="Normal 2 16 3 2 2 4" xfId="3677" xr:uid="{00000000-0005-0000-0000-000016080000}"/>
    <cellStyle name="Normal 2 16 3 2 3" xfId="1440" xr:uid="{00000000-0005-0000-0000-000017080000}"/>
    <cellStyle name="Normal 2 16 3 2 3 2" xfId="4177" xr:uid="{00000000-0005-0000-0000-000018080000}"/>
    <cellStyle name="Normal 2 16 3 2 4" xfId="2332" xr:uid="{00000000-0005-0000-0000-000019080000}"/>
    <cellStyle name="Normal 2 16 3 2 4 2" xfId="5069" xr:uid="{00000000-0005-0000-0000-00001A080000}"/>
    <cellStyle name="Normal 2 16 3 2 5" xfId="3230" xr:uid="{00000000-0005-0000-0000-00001B080000}"/>
    <cellStyle name="Normal 2 16 3 3" xfId="688" xr:uid="{00000000-0005-0000-0000-00001C080000}"/>
    <cellStyle name="Normal 2 16 3 3 2" xfId="1638" xr:uid="{00000000-0005-0000-0000-00001D080000}"/>
    <cellStyle name="Normal 2 16 3 3 2 2" xfId="4375" xr:uid="{00000000-0005-0000-0000-00001E080000}"/>
    <cellStyle name="Normal 2 16 3 3 3" xfId="2530" xr:uid="{00000000-0005-0000-0000-00001F080000}"/>
    <cellStyle name="Normal 2 16 3 3 3 2" xfId="5267" xr:uid="{00000000-0005-0000-0000-000020080000}"/>
    <cellStyle name="Normal 2 16 3 3 4" xfId="3428" xr:uid="{00000000-0005-0000-0000-000021080000}"/>
    <cellStyle name="Normal 2 16 3 4" xfId="1191" xr:uid="{00000000-0005-0000-0000-000022080000}"/>
    <cellStyle name="Normal 2 16 3 4 2" xfId="3928" xr:uid="{00000000-0005-0000-0000-000023080000}"/>
    <cellStyle name="Normal 2 16 3 5" xfId="2083" xr:uid="{00000000-0005-0000-0000-000024080000}"/>
    <cellStyle name="Normal 2 16 3 5 2" xfId="4820" xr:uid="{00000000-0005-0000-0000-000025080000}"/>
    <cellStyle name="Normal 2 16 3 6" xfId="2981" xr:uid="{00000000-0005-0000-0000-000026080000}"/>
    <cellStyle name="Normal 2 16 4" xfId="328" xr:uid="{00000000-0005-0000-0000-000027080000}"/>
    <cellStyle name="Normal 2 16 4 2" xfId="781" xr:uid="{00000000-0005-0000-0000-000028080000}"/>
    <cellStyle name="Normal 2 16 4 2 2" xfId="1731" xr:uid="{00000000-0005-0000-0000-000029080000}"/>
    <cellStyle name="Normal 2 16 4 2 2 2" xfId="4468" xr:uid="{00000000-0005-0000-0000-00002A080000}"/>
    <cellStyle name="Normal 2 16 4 2 3" xfId="2623" xr:uid="{00000000-0005-0000-0000-00002B080000}"/>
    <cellStyle name="Normal 2 16 4 2 3 2" xfId="5360" xr:uid="{00000000-0005-0000-0000-00002C080000}"/>
    <cellStyle name="Normal 2 16 4 2 4" xfId="3521" xr:uid="{00000000-0005-0000-0000-00002D080000}"/>
    <cellStyle name="Normal 2 16 4 3" xfId="1284" xr:uid="{00000000-0005-0000-0000-00002E080000}"/>
    <cellStyle name="Normal 2 16 4 3 2" xfId="4021" xr:uid="{00000000-0005-0000-0000-00002F080000}"/>
    <cellStyle name="Normal 2 16 4 4" xfId="2176" xr:uid="{00000000-0005-0000-0000-000030080000}"/>
    <cellStyle name="Normal 2 16 4 4 2" xfId="4913" xr:uid="{00000000-0005-0000-0000-000031080000}"/>
    <cellStyle name="Normal 2 16 4 5" xfId="3074" xr:uid="{00000000-0005-0000-0000-000032080000}"/>
    <cellStyle name="Normal 2 16 5" xfId="378" xr:uid="{00000000-0005-0000-0000-000033080000}"/>
    <cellStyle name="Normal 2 16 5 2" xfId="826" xr:uid="{00000000-0005-0000-0000-000034080000}"/>
    <cellStyle name="Normal 2 16 5 2 2" xfId="1776" xr:uid="{00000000-0005-0000-0000-000035080000}"/>
    <cellStyle name="Normal 2 16 5 2 2 2" xfId="4513" xr:uid="{00000000-0005-0000-0000-000036080000}"/>
    <cellStyle name="Normal 2 16 5 2 3" xfId="2668" xr:uid="{00000000-0005-0000-0000-000037080000}"/>
    <cellStyle name="Normal 2 16 5 2 3 2" xfId="5405" xr:uid="{00000000-0005-0000-0000-000038080000}"/>
    <cellStyle name="Normal 2 16 5 2 4" xfId="3566" xr:uid="{00000000-0005-0000-0000-000039080000}"/>
    <cellStyle name="Normal 2 16 5 3" xfId="1329" xr:uid="{00000000-0005-0000-0000-00003A080000}"/>
    <cellStyle name="Normal 2 16 5 3 2" xfId="4066" xr:uid="{00000000-0005-0000-0000-00003B080000}"/>
    <cellStyle name="Normal 2 16 5 4" xfId="2221" xr:uid="{00000000-0005-0000-0000-00003C080000}"/>
    <cellStyle name="Normal 2 16 5 4 2" xfId="4958" xr:uid="{00000000-0005-0000-0000-00003D080000}"/>
    <cellStyle name="Normal 2 16 5 5" xfId="3119" xr:uid="{00000000-0005-0000-0000-00003E080000}"/>
    <cellStyle name="Normal 2 16 6" xfId="583" xr:uid="{00000000-0005-0000-0000-00003F080000}"/>
    <cellStyle name="Normal 2 16 6 2" xfId="1533" xr:uid="{00000000-0005-0000-0000-000040080000}"/>
    <cellStyle name="Normal 2 16 6 2 2" xfId="4270" xr:uid="{00000000-0005-0000-0000-000041080000}"/>
    <cellStyle name="Normal 2 16 6 3" xfId="2425" xr:uid="{00000000-0005-0000-0000-000042080000}"/>
    <cellStyle name="Normal 2 16 6 3 2" xfId="5162" xr:uid="{00000000-0005-0000-0000-000043080000}"/>
    <cellStyle name="Normal 2 16 6 4" xfId="3323" xr:uid="{00000000-0005-0000-0000-000044080000}"/>
    <cellStyle name="Normal 2 16 7" xfId="1031" xr:uid="{00000000-0005-0000-0000-000045080000}"/>
    <cellStyle name="Normal 2 16 7 2" xfId="3770" xr:uid="{00000000-0005-0000-0000-000046080000}"/>
    <cellStyle name="Normal 2 16 8" xfId="1080" xr:uid="{00000000-0005-0000-0000-000047080000}"/>
    <cellStyle name="Normal 2 16 8 2" xfId="3817" xr:uid="{00000000-0005-0000-0000-000048080000}"/>
    <cellStyle name="Normal 2 16 9" xfId="1972" xr:uid="{00000000-0005-0000-0000-000049080000}"/>
    <cellStyle name="Normal 2 16 9 2" xfId="4709" xr:uid="{00000000-0005-0000-0000-00004A080000}"/>
    <cellStyle name="Normal 2 17" xfId="140" xr:uid="{00000000-0005-0000-0000-00004B080000}"/>
    <cellStyle name="Normal 2 17 2" xfId="253" xr:uid="{00000000-0005-0000-0000-00004C080000}"/>
    <cellStyle name="Normal 2 17 2 2" xfId="507" xr:uid="{00000000-0005-0000-0000-00004D080000}"/>
    <cellStyle name="Normal 2 17 2 2 2" xfId="955" xr:uid="{00000000-0005-0000-0000-00004E080000}"/>
    <cellStyle name="Normal 2 17 2 2 2 2" xfId="1905" xr:uid="{00000000-0005-0000-0000-00004F080000}"/>
    <cellStyle name="Normal 2 17 2 2 2 2 2" xfId="4642" xr:uid="{00000000-0005-0000-0000-000050080000}"/>
    <cellStyle name="Normal 2 17 2 2 2 3" xfId="2797" xr:uid="{00000000-0005-0000-0000-000051080000}"/>
    <cellStyle name="Normal 2 17 2 2 2 3 2" xfId="5534" xr:uid="{00000000-0005-0000-0000-000052080000}"/>
    <cellStyle name="Normal 2 17 2 2 2 4" xfId="3695" xr:uid="{00000000-0005-0000-0000-000053080000}"/>
    <cellStyle name="Normal 2 17 2 2 3" xfId="1458" xr:uid="{00000000-0005-0000-0000-000054080000}"/>
    <cellStyle name="Normal 2 17 2 2 3 2" xfId="4195" xr:uid="{00000000-0005-0000-0000-000055080000}"/>
    <cellStyle name="Normal 2 17 2 2 4" xfId="2350" xr:uid="{00000000-0005-0000-0000-000056080000}"/>
    <cellStyle name="Normal 2 17 2 2 4 2" xfId="5087" xr:uid="{00000000-0005-0000-0000-000057080000}"/>
    <cellStyle name="Normal 2 17 2 2 5" xfId="3248" xr:uid="{00000000-0005-0000-0000-000058080000}"/>
    <cellStyle name="Normal 2 17 2 3" xfId="706" xr:uid="{00000000-0005-0000-0000-000059080000}"/>
    <cellStyle name="Normal 2 17 2 3 2" xfId="1656" xr:uid="{00000000-0005-0000-0000-00005A080000}"/>
    <cellStyle name="Normal 2 17 2 3 2 2" xfId="4393" xr:uid="{00000000-0005-0000-0000-00005B080000}"/>
    <cellStyle name="Normal 2 17 2 3 3" xfId="2548" xr:uid="{00000000-0005-0000-0000-00005C080000}"/>
    <cellStyle name="Normal 2 17 2 3 3 2" xfId="5285" xr:uid="{00000000-0005-0000-0000-00005D080000}"/>
    <cellStyle name="Normal 2 17 2 3 4" xfId="3446" xr:uid="{00000000-0005-0000-0000-00005E080000}"/>
    <cellStyle name="Normal 2 17 2 4" xfId="1209" xr:uid="{00000000-0005-0000-0000-00005F080000}"/>
    <cellStyle name="Normal 2 17 2 4 2" xfId="3946" xr:uid="{00000000-0005-0000-0000-000060080000}"/>
    <cellStyle name="Normal 2 17 2 5" xfId="2101" xr:uid="{00000000-0005-0000-0000-000061080000}"/>
    <cellStyle name="Normal 2 17 2 5 2" xfId="4838" xr:uid="{00000000-0005-0000-0000-000062080000}"/>
    <cellStyle name="Normal 2 17 2 6" xfId="2999" xr:uid="{00000000-0005-0000-0000-000063080000}"/>
    <cellStyle name="Normal 2 17 3" xfId="396" xr:uid="{00000000-0005-0000-0000-000064080000}"/>
    <cellStyle name="Normal 2 17 3 2" xfId="844" xr:uid="{00000000-0005-0000-0000-000065080000}"/>
    <cellStyle name="Normal 2 17 3 2 2" xfId="1794" xr:uid="{00000000-0005-0000-0000-000066080000}"/>
    <cellStyle name="Normal 2 17 3 2 2 2" xfId="4531" xr:uid="{00000000-0005-0000-0000-000067080000}"/>
    <cellStyle name="Normal 2 17 3 2 3" xfId="2686" xr:uid="{00000000-0005-0000-0000-000068080000}"/>
    <cellStyle name="Normal 2 17 3 2 3 2" xfId="5423" xr:uid="{00000000-0005-0000-0000-000069080000}"/>
    <cellStyle name="Normal 2 17 3 2 4" xfId="3584" xr:uid="{00000000-0005-0000-0000-00006A080000}"/>
    <cellStyle name="Normal 2 17 3 3" xfId="1347" xr:uid="{00000000-0005-0000-0000-00006B080000}"/>
    <cellStyle name="Normal 2 17 3 3 2" xfId="4084" xr:uid="{00000000-0005-0000-0000-00006C080000}"/>
    <cellStyle name="Normal 2 17 3 4" xfId="2239" xr:uid="{00000000-0005-0000-0000-00006D080000}"/>
    <cellStyle name="Normal 2 17 3 4 2" xfId="4976" xr:uid="{00000000-0005-0000-0000-00006E080000}"/>
    <cellStyle name="Normal 2 17 3 5" xfId="3137" xr:uid="{00000000-0005-0000-0000-00006F080000}"/>
    <cellStyle name="Normal 2 17 4" xfId="605" xr:uid="{00000000-0005-0000-0000-000070080000}"/>
    <cellStyle name="Normal 2 17 4 2" xfId="1555" xr:uid="{00000000-0005-0000-0000-000071080000}"/>
    <cellStyle name="Normal 2 17 4 2 2" xfId="4292" xr:uid="{00000000-0005-0000-0000-000072080000}"/>
    <cellStyle name="Normal 2 17 4 3" xfId="2447" xr:uid="{00000000-0005-0000-0000-000073080000}"/>
    <cellStyle name="Normal 2 17 4 3 2" xfId="5184" xr:uid="{00000000-0005-0000-0000-000074080000}"/>
    <cellStyle name="Normal 2 17 4 4" xfId="3345" xr:uid="{00000000-0005-0000-0000-000075080000}"/>
    <cellStyle name="Normal 2 17 5" xfId="1098" xr:uid="{00000000-0005-0000-0000-000076080000}"/>
    <cellStyle name="Normal 2 17 5 2" xfId="3835" xr:uid="{00000000-0005-0000-0000-000077080000}"/>
    <cellStyle name="Normal 2 17 6" xfId="1990" xr:uid="{00000000-0005-0000-0000-000078080000}"/>
    <cellStyle name="Normal 2 17 6 2" xfId="4727" xr:uid="{00000000-0005-0000-0000-000079080000}"/>
    <cellStyle name="Normal 2 17 7" xfId="2888" xr:uid="{00000000-0005-0000-0000-00007A080000}"/>
    <cellStyle name="Normal 2 18" xfId="189" xr:uid="{00000000-0005-0000-0000-00007B080000}"/>
    <cellStyle name="Normal 2 18 2" xfId="444" xr:uid="{00000000-0005-0000-0000-00007C080000}"/>
    <cellStyle name="Normal 2 18 2 2" xfId="892" xr:uid="{00000000-0005-0000-0000-00007D080000}"/>
    <cellStyle name="Normal 2 18 2 2 2" xfId="1842" xr:uid="{00000000-0005-0000-0000-00007E080000}"/>
    <cellStyle name="Normal 2 18 2 2 2 2" xfId="4579" xr:uid="{00000000-0005-0000-0000-00007F080000}"/>
    <cellStyle name="Normal 2 18 2 2 3" xfId="2734" xr:uid="{00000000-0005-0000-0000-000080080000}"/>
    <cellStyle name="Normal 2 18 2 2 3 2" xfId="5471" xr:uid="{00000000-0005-0000-0000-000081080000}"/>
    <cellStyle name="Normal 2 18 2 2 4" xfId="3632" xr:uid="{00000000-0005-0000-0000-000082080000}"/>
    <cellStyle name="Normal 2 18 2 3" xfId="1395" xr:uid="{00000000-0005-0000-0000-000083080000}"/>
    <cellStyle name="Normal 2 18 2 3 2" xfId="4132" xr:uid="{00000000-0005-0000-0000-000084080000}"/>
    <cellStyle name="Normal 2 18 2 4" xfId="2287" xr:uid="{00000000-0005-0000-0000-000085080000}"/>
    <cellStyle name="Normal 2 18 2 4 2" xfId="5024" xr:uid="{00000000-0005-0000-0000-000086080000}"/>
    <cellStyle name="Normal 2 18 2 5" xfId="3185" xr:uid="{00000000-0005-0000-0000-000087080000}"/>
    <cellStyle name="Normal 2 18 3" xfId="647" xr:uid="{00000000-0005-0000-0000-000088080000}"/>
    <cellStyle name="Normal 2 18 3 2" xfId="1597" xr:uid="{00000000-0005-0000-0000-000089080000}"/>
    <cellStyle name="Normal 2 18 3 2 2" xfId="4334" xr:uid="{00000000-0005-0000-0000-00008A080000}"/>
    <cellStyle name="Normal 2 18 3 3" xfId="2489" xr:uid="{00000000-0005-0000-0000-00008B080000}"/>
    <cellStyle name="Normal 2 18 3 3 2" xfId="5226" xr:uid="{00000000-0005-0000-0000-00008C080000}"/>
    <cellStyle name="Normal 2 18 3 4" xfId="3387" xr:uid="{00000000-0005-0000-0000-00008D080000}"/>
    <cellStyle name="Normal 2 18 4" xfId="1146" xr:uid="{00000000-0005-0000-0000-00008E080000}"/>
    <cellStyle name="Normal 2 18 4 2" xfId="3883" xr:uid="{00000000-0005-0000-0000-00008F080000}"/>
    <cellStyle name="Normal 2 18 5" xfId="2038" xr:uid="{00000000-0005-0000-0000-000090080000}"/>
    <cellStyle name="Normal 2 18 5 2" xfId="4775" xr:uid="{00000000-0005-0000-0000-000091080000}"/>
    <cellStyle name="Normal 2 18 6" xfId="2936" xr:uid="{00000000-0005-0000-0000-000092080000}"/>
    <cellStyle name="Normal 2 19" xfId="212" xr:uid="{00000000-0005-0000-0000-000093080000}"/>
    <cellStyle name="Normal 2 19 2" xfId="466" xr:uid="{00000000-0005-0000-0000-000094080000}"/>
    <cellStyle name="Normal 2 19 2 2" xfId="914" xr:uid="{00000000-0005-0000-0000-000095080000}"/>
    <cellStyle name="Normal 2 19 2 2 2" xfId="1864" xr:uid="{00000000-0005-0000-0000-000096080000}"/>
    <cellStyle name="Normal 2 19 2 2 2 2" xfId="4601" xr:uid="{00000000-0005-0000-0000-000097080000}"/>
    <cellStyle name="Normal 2 19 2 2 3" xfId="2756" xr:uid="{00000000-0005-0000-0000-000098080000}"/>
    <cellStyle name="Normal 2 19 2 2 3 2" xfId="5493" xr:uid="{00000000-0005-0000-0000-000099080000}"/>
    <cellStyle name="Normal 2 19 2 2 4" xfId="3654" xr:uid="{00000000-0005-0000-0000-00009A080000}"/>
    <cellStyle name="Normal 2 19 2 3" xfId="1417" xr:uid="{00000000-0005-0000-0000-00009B080000}"/>
    <cellStyle name="Normal 2 19 2 3 2" xfId="4154" xr:uid="{00000000-0005-0000-0000-00009C080000}"/>
    <cellStyle name="Normal 2 19 2 4" xfId="2309" xr:uid="{00000000-0005-0000-0000-00009D080000}"/>
    <cellStyle name="Normal 2 19 2 4 2" xfId="5046" xr:uid="{00000000-0005-0000-0000-00009E080000}"/>
    <cellStyle name="Normal 2 19 2 5" xfId="3207" xr:uid="{00000000-0005-0000-0000-00009F080000}"/>
    <cellStyle name="Normal 2 19 3" xfId="665" xr:uid="{00000000-0005-0000-0000-0000A0080000}"/>
    <cellStyle name="Normal 2 19 3 2" xfId="1615" xr:uid="{00000000-0005-0000-0000-0000A1080000}"/>
    <cellStyle name="Normal 2 19 3 2 2" xfId="4352" xr:uid="{00000000-0005-0000-0000-0000A2080000}"/>
    <cellStyle name="Normal 2 19 3 3" xfId="2507" xr:uid="{00000000-0005-0000-0000-0000A3080000}"/>
    <cellStyle name="Normal 2 19 3 3 2" xfId="5244" xr:uid="{00000000-0005-0000-0000-0000A4080000}"/>
    <cellStyle name="Normal 2 19 3 4" xfId="3405" xr:uid="{00000000-0005-0000-0000-0000A5080000}"/>
    <cellStyle name="Normal 2 19 4" xfId="1168" xr:uid="{00000000-0005-0000-0000-0000A6080000}"/>
    <cellStyle name="Normal 2 19 4 2" xfId="3905" xr:uid="{00000000-0005-0000-0000-0000A7080000}"/>
    <cellStyle name="Normal 2 19 5" xfId="2060" xr:uid="{00000000-0005-0000-0000-0000A8080000}"/>
    <cellStyle name="Normal 2 19 5 2" xfId="4797" xr:uid="{00000000-0005-0000-0000-0000A9080000}"/>
    <cellStyle name="Normal 2 19 6" xfId="2958" xr:uid="{00000000-0005-0000-0000-0000AA080000}"/>
    <cellStyle name="Normal 2 2" xfId="56" xr:uid="{00000000-0005-0000-0000-0000AB080000}"/>
    <cellStyle name="Normal 2 2 10" xfId="358" xr:uid="{00000000-0005-0000-0000-0000AC080000}"/>
    <cellStyle name="Normal 2 2 10 2" xfId="806" xr:uid="{00000000-0005-0000-0000-0000AD080000}"/>
    <cellStyle name="Normal 2 2 10 2 2" xfId="1756" xr:uid="{00000000-0005-0000-0000-0000AE080000}"/>
    <cellStyle name="Normal 2 2 10 2 2 2" xfId="4493" xr:uid="{00000000-0005-0000-0000-0000AF080000}"/>
    <cellStyle name="Normal 2 2 10 2 3" xfId="2648" xr:uid="{00000000-0005-0000-0000-0000B0080000}"/>
    <cellStyle name="Normal 2 2 10 2 3 2" xfId="5385" xr:uid="{00000000-0005-0000-0000-0000B1080000}"/>
    <cellStyle name="Normal 2 2 10 2 4" xfId="3546" xr:uid="{00000000-0005-0000-0000-0000B2080000}"/>
    <cellStyle name="Normal 2 2 10 3" xfId="1309" xr:uid="{00000000-0005-0000-0000-0000B3080000}"/>
    <cellStyle name="Normal 2 2 10 3 2" xfId="4046" xr:uid="{00000000-0005-0000-0000-0000B4080000}"/>
    <cellStyle name="Normal 2 2 10 4" xfId="2201" xr:uid="{00000000-0005-0000-0000-0000B5080000}"/>
    <cellStyle name="Normal 2 2 10 4 2" xfId="4938" xr:uid="{00000000-0005-0000-0000-0000B6080000}"/>
    <cellStyle name="Normal 2 2 10 5" xfId="3099" xr:uid="{00000000-0005-0000-0000-0000B7080000}"/>
    <cellStyle name="Normal 2 2 11" xfId="560" xr:uid="{00000000-0005-0000-0000-0000B8080000}"/>
    <cellStyle name="Normal 2 2 11 2" xfId="1511" xr:uid="{00000000-0005-0000-0000-0000B9080000}"/>
    <cellStyle name="Normal 2 2 11 2 2" xfId="4248" xr:uid="{00000000-0005-0000-0000-0000BA080000}"/>
    <cellStyle name="Normal 2 2 11 3" xfId="2403" xr:uid="{00000000-0005-0000-0000-0000BB080000}"/>
    <cellStyle name="Normal 2 2 11 3 2" xfId="5140" xr:uid="{00000000-0005-0000-0000-0000BC080000}"/>
    <cellStyle name="Normal 2 2 11 4" xfId="3301" xr:uid="{00000000-0005-0000-0000-0000BD080000}"/>
    <cellStyle name="Normal 2 2 12" xfId="1008" xr:uid="{00000000-0005-0000-0000-0000BE080000}"/>
    <cellStyle name="Normal 2 2 12 2" xfId="3748" xr:uid="{00000000-0005-0000-0000-0000BF080000}"/>
    <cellStyle name="Normal 2 2 13" xfId="1060" xr:uid="{00000000-0005-0000-0000-0000C0080000}"/>
    <cellStyle name="Normal 2 2 13 2" xfId="3797" xr:uid="{00000000-0005-0000-0000-0000C1080000}"/>
    <cellStyle name="Normal 2 2 14" xfId="1952" xr:uid="{00000000-0005-0000-0000-0000C2080000}"/>
    <cellStyle name="Normal 2 2 14 2" xfId="4689" xr:uid="{00000000-0005-0000-0000-0000C3080000}"/>
    <cellStyle name="Normal 2 2 15" xfId="2850" xr:uid="{00000000-0005-0000-0000-0000C4080000}"/>
    <cellStyle name="Normal 2 2 2" xfId="94" xr:uid="{00000000-0005-0000-0000-0000C5080000}"/>
    <cellStyle name="Normal 2 2 2 10" xfId="1063" xr:uid="{00000000-0005-0000-0000-0000C6080000}"/>
    <cellStyle name="Normal 2 2 2 10 2" xfId="3800" xr:uid="{00000000-0005-0000-0000-0000C7080000}"/>
    <cellStyle name="Normal 2 2 2 11" xfId="1955" xr:uid="{00000000-0005-0000-0000-0000C8080000}"/>
    <cellStyle name="Normal 2 2 2 11 2" xfId="4692" xr:uid="{00000000-0005-0000-0000-0000C9080000}"/>
    <cellStyle name="Normal 2 2 2 12" xfId="2853" xr:uid="{00000000-0005-0000-0000-0000CA080000}"/>
    <cellStyle name="Normal 2 2 2 2" xfId="121" xr:uid="{00000000-0005-0000-0000-0000CB080000}"/>
    <cellStyle name="Normal 2 2 2 2 10" xfId="2876" xr:uid="{00000000-0005-0000-0000-0000CC080000}"/>
    <cellStyle name="Normal 2 2 2 2 2" xfId="169" xr:uid="{00000000-0005-0000-0000-0000CD080000}"/>
    <cellStyle name="Normal 2 2 2 2 2 2" xfId="282" xr:uid="{00000000-0005-0000-0000-0000CE080000}"/>
    <cellStyle name="Normal 2 2 2 2 2 2 2" xfId="536" xr:uid="{00000000-0005-0000-0000-0000CF080000}"/>
    <cellStyle name="Normal 2 2 2 2 2 2 2 2" xfId="984" xr:uid="{00000000-0005-0000-0000-0000D0080000}"/>
    <cellStyle name="Normal 2 2 2 2 2 2 2 2 2" xfId="1934" xr:uid="{00000000-0005-0000-0000-0000D1080000}"/>
    <cellStyle name="Normal 2 2 2 2 2 2 2 2 2 2" xfId="4671" xr:uid="{00000000-0005-0000-0000-0000D2080000}"/>
    <cellStyle name="Normal 2 2 2 2 2 2 2 2 3" xfId="2826" xr:uid="{00000000-0005-0000-0000-0000D3080000}"/>
    <cellStyle name="Normal 2 2 2 2 2 2 2 2 3 2" xfId="5563" xr:uid="{00000000-0005-0000-0000-0000D4080000}"/>
    <cellStyle name="Normal 2 2 2 2 2 2 2 2 4" xfId="3724" xr:uid="{00000000-0005-0000-0000-0000D5080000}"/>
    <cellStyle name="Normal 2 2 2 2 2 2 2 3" xfId="1487" xr:uid="{00000000-0005-0000-0000-0000D6080000}"/>
    <cellStyle name="Normal 2 2 2 2 2 2 2 3 2" xfId="4224" xr:uid="{00000000-0005-0000-0000-0000D7080000}"/>
    <cellStyle name="Normal 2 2 2 2 2 2 2 4" xfId="2379" xr:uid="{00000000-0005-0000-0000-0000D8080000}"/>
    <cellStyle name="Normal 2 2 2 2 2 2 2 4 2" xfId="5116" xr:uid="{00000000-0005-0000-0000-0000D9080000}"/>
    <cellStyle name="Normal 2 2 2 2 2 2 2 5" xfId="3277" xr:uid="{00000000-0005-0000-0000-0000DA080000}"/>
    <cellStyle name="Normal 2 2 2 2 2 2 3" xfId="735" xr:uid="{00000000-0005-0000-0000-0000DB080000}"/>
    <cellStyle name="Normal 2 2 2 2 2 2 3 2" xfId="1685" xr:uid="{00000000-0005-0000-0000-0000DC080000}"/>
    <cellStyle name="Normal 2 2 2 2 2 2 3 2 2" xfId="4422" xr:uid="{00000000-0005-0000-0000-0000DD080000}"/>
    <cellStyle name="Normal 2 2 2 2 2 2 3 3" xfId="2577" xr:uid="{00000000-0005-0000-0000-0000DE080000}"/>
    <cellStyle name="Normal 2 2 2 2 2 2 3 3 2" xfId="5314" xr:uid="{00000000-0005-0000-0000-0000DF080000}"/>
    <cellStyle name="Normal 2 2 2 2 2 2 3 4" xfId="3475" xr:uid="{00000000-0005-0000-0000-0000E0080000}"/>
    <cellStyle name="Normal 2 2 2 2 2 2 4" xfId="1238" xr:uid="{00000000-0005-0000-0000-0000E1080000}"/>
    <cellStyle name="Normal 2 2 2 2 2 2 4 2" xfId="3975" xr:uid="{00000000-0005-0000-0000-0000E2080000}"/>
    <cellStyle name="Normal 2 2 2 2 2 2 5" xfId="2130" xr:uid="{00000000-0005-0000-0000-0000E3080000}"/>
    <cellStyle name="Normal 2 2 2 2 2 2 5 2" xfId="4867" xr:uid="{00000000-0005-0000-0000-0000E4080000}"/>
    <cellStyle name="Normal 2 2 2 2 2 2 6" xfId="3028" xr:uid="{00000000-0005-0000-0000-0000E5080000}"/>
    <cellStyle name="Normal 2 2 2 2 2 3" xfId="425" xr:uid="{00000000-0005-0000-0000-0000E6080000}"/>
    <cellStyle name="Normal 2 2 2 2 2 3 2" xfId="873" xr:uid="{00000000-0005-0000-0000-0000E7080000}"/>
    <cellStyle name="Normal 2 2 2 2 2 3 2 2" xfId="1823" xr:uid="{00000000-0005-0000-0000-0000E8080000}"/>
    <cellStyle name="Normal 2 2 2 2 2 3 2 2 2" xfId="4560" xr:uid="{00000000-0005-0000-0000-0000E9080000}"/>
    <cellStyle name="Normal 2 2 2 2 2 3 2 3" xfId="2715" xr:uid="{00000000-0005-0000-0000-0000EA080000}"/>
    <cellStyle name="Normal 2 2 2 2 2 3 2 3 2" xfId="5452" xr:uid="{00000000-0005-0000-0000-0000EB080000}"/>
    <cellStyle name="Normal 2 2 2 2 2 3 2 4" xfId="3613" xr:uid="{00000000-0005-0000-0000-0000EC080000}"/>
    <cellStyle name="Normal 2 2 2 2 2 3 3" xfId="1376" xr:uid="{00000000-0005-0000-0000-0000ED080000}"/>
    <cellStyle name="Normal 2 2 2 2 2 3 3 2" xfId="4113" xr:uid="{00000000-0005-0000-0000-0000EE080000}"/>
    <cellStyle name="Normal 2 2 2 2 2 3 4" xfId="2268" xr:uid="{00000000-0005-0000-0000-0000EF080000}"/>
    <cellStyle name="Normal 2 2 2 2 2 3 4 2" xfId="5005" xr:uid="{00000000-0005-0000-0000-0000F0080000}"/>
    <cellStyle name="Normal 2 2 2 2 2 3 5" xfId="3166" xr:uid="{00000000-0005-0000-0000-0000F1080000}"/>
    <cellStyle name="Normal 2 2 2 2 2 4" xfId="634" xr:uid="{00000000-0005-0000-0000-0000F2080000}"/>
    <cellStyle name="Normal 2 2 2 2 2 4 2" xfId="1584" xr:uid="{00000000-0005-0000-0000-0000F3080000}"/>
    <cellStyle name="Normal 2 2 2 2 2 4 2 2" xfId="4321" xr:uid="{00000000-0005-0000-0000-0000F4080000}"/>
    <cellStyle name="Normal 2 2 2 2 2 4 3" xfId="2476" xr:uid="{00000000-0005-0000-0000-0000F5080000}"/>
    <cellStyle name="Normal 2 2 2 2 2 4 3 2" xfId="5213" xr:uid="{00000000-0005-0000-0000-0000F6080000}"/>
    <cellStyle name="Normal 2 2 2 2 2 4 4" xfId="3374" xr:uid="{00000000-0005-0000-0000-0000F7080000}"/>
    <cellStyle name="Normal 2 2 2 2 2 5" xfId="1127" xr:uid="{00000000-0005-0000-0000-0000F8080000}"/>
    <cellStyle name="Normal 2 2 2 2 2 5 2" xfId="3864" xr:uid="{00000000-0005-0000-0000-0000F9080000}"/>
    <cellStyle name="Normal 2 2 2 2 2 6" xfId="2019" xr:uid="{00000000-0005-0000-0000-0000FA080000}"/>
    <cellStyle name="Normal 2 2 2 2 2 6 2" xfId="4756" xr:uid="{00000000-0005-0000-0000-0000FB080000}"/>
    <cellStyle name="Normal 2 2 2 2 2 7" xfId="2917" xr:uid="{00000000-0005-0000-0000-0000FC080000}"/>
    <cellStyle name="Normal 2 2 2 2 3" xfId="241" xr:uid="{00000000-0005-0000-0000-0000FD080000}"/>
    <cellStyle name="Normal 2 2 2 2 3 2" xfId="495" xr:uid="{00000000-0005-0000-0000-0000FE080000}"/>
    <cellStyle name="Normal 2 2 2 2 3 2 2" xfId="943" xr:uid="{00000000-0005-0000-0000-0000FF080000}"/>
    <cellStyle name="Normal 2 2 2 2 3 2 2 2" xfId="1893" xr:uid="{00000000-0005-0000-0000-000000090000}"/>
    <cellStyle name="Normal 2 2 2 2 3 2 2 2 2" xfId="4630" xr:uid="{00000000-0005-0000-0000-000001090000}"/>
    <cellStyle name="Normal 2 2 2 2 3 2 2 3" xfId="2785" xr:uid="{00000000-0005-0000-0000-000002090000}"/>
    <cellStyle name="Normal 2 2 2 2 3 2 2 3 2" xfId="5522" xr:uid="{00000000-0005-0000-0000-000003090000}"/>
    <cellStyle name="Normal 2 2 2 2 3 2 2 4" xfId="3683" xr:uid="{00000000-0005-0000-0000-000004090000}"/>
    <cellStyle name="Normal 2 2 2 2 3 2 3" xfId="1446" xr:uid="{00000000-0005-0000-0000-000005090000}"/>
    <cellStyle name="Normal 2 2 2 2 3 2 3 2" xfId="4183" xr:uid="{00000000-0005-0000-0000-000006090000}"/>
    <cellStyle name="Normal 2 2 2 2 3 2 4" xfId="2338" xr:uid="{00000000-0005-0000-0000-000007090000}"/>
    <cellStyle name="Normal 2 2 2 2 3 2 4 2" xfId="5075" xr:uid="{00000000-0005-0000-0000-000008090000}"/>
    <cellStyle name="Normal 2 2 2 2 3 2 5" xfId="3236" xr:uid="{00000000-0005-0000-0000-000009090000}"/>
    <cellStyle name="Normal 2 2 2 2 3 3" xfId="694" xr:uid="{00000000-0005-0000-0000-00000A090000}"/>
    <cellStyle name="Normal 2 2 2 2 3 3 2" xfId="1644" xr:uid="{00000000-0005-0000-0000-00000B090000}"/>
    <cellStyle name="Normal 2 2 2 2 3 3 2 2" xfId="4381" xr:uid="{00000000-0005-0000-0000-00000C090000}"/>
    <cellStyle name="Normal 2 2 2 2 3 3 3" xfId="2536" xr:uid="{00000000-0005-0000-0000-00000D090000}"/>
    <cellStyle name="Normal 2 2 2 2 3 3 3 2" xfId="5273" xr:uid="{00000000-0005-0000-0000-00000E090000}"/>
    <cellStyle name="Normal 2 2 2 2 3 3 4" xfId="3434" xr:uid="{00000000-0005-0000-0000-00000F090000}"/>
    <cellStyle name="Normal 2 2 2 2 3 4" xfId="1197" xr:uid="{00000000-0005-0000-0000-000010090000}"/>
    <cellStyle name="Normal 2 2 2 2 3 4 2" xfId="3934" xr:uid="{00000000-0005-0000-0000-000011090000}"/>
    <cellStyle name="Normal 2 2 2 2 3 5" xfId="2089" xr:uid="{00000000-0005-0000-0000-000012090000}"/>
    <cellStyle name="Normal 2 2 2 2 3 5 2" xfId="4826" xr:uid="{00000000-0005-0000-0000-000013090000}"/>
    <cellStyle name="Normal 2 2 2 2 3 6" xfId="2987" xr:uid="{00000000-0005-0000-0000-000014090000}"/>
    <cellStyle name="Normal 2 2 2 2 4" xfId="334" xr:uid="{00000000-0005-0000-0000-000015090000}"/>
    <cellStyle name="Normal 2 2 2 2 4 2" xfId="787" xr:uid="{00000000-0005-0000-0000-000016090000}"/>
    <cellStyle name="Normal 2 2 2 2 4 2 2" xfId="1737" xr:uid="{00000000-0005-0000-0000-000017090000}"/>
    <cellStyle name="Normal 2 2 2 2 4 2 2 2" xfId="4474" xr:uid="{00000000-0005-0000-0000-000018090000}"/>
    <cellStyle name="Normal 2 2 2 2 4 2 3" xfId="2629" xr:uid="{00000000-0005-0000-0000-000019090000}"/>
    <cellStyle name="Normal 2 2 2 2 4 2 3 2" xfId="5366" xr:uid="{00000000-0005-0000-0000-00001A090000}"/>
    <cellStyle name="Normal 2 2 2 2 4 2 4" xfId="3527" xr:uid="{00000000-0005-0000-0000-00001B090000}"/>
    <cellStyle name="Normal 2 2 2 2 4 3" xfId="1290" xr:uid="{00000000-0005-0000-0000-00001C090000}"/>
    <cellStyle name="Normal 2 2 2 2 4 3 2" xfId="4027" xr:uid="{00000000-0005-0000-0000-00001D090000}"/>
    <cellStyle name="Normal 2 2 2 2 4 4" xfId="2182" xr:uid="{00000000-0005-0000-0000-00001E090000}"/>
    <cellStyle name="Normal 2 2 2 2 4 4 2" xfId="4919" xr:uid="{00000000-0005-0000-0000-00001F090000}"/>
    <cellStyle name="Normal 2 2 2 2 4 5" xfId="3080" xr:uid="{00000000-0005-0000-0000-000020090000}"/>
    <cellStyle name="Normal 2 2 2 2 5" xfId="384" xr:uid="{00000000-0005-0000-0000-000021090000}"/>
    <cellStyle name="Normal 2 2 2 2 5 2" xfId="832" xr:uid="{00000000-0005-0000-0000-000022090000}"/>
    <cellStyle name="Normal 2 2 2 2 5 2 2" xfId="1782" xr:uid="{00000000-0005-0000-0000-000023090000}"/>
    <cellStyle name="Normal 2 2 2 2 5 2 2 2" xfId="4519" xr:uid="{00000000-0005-0000-0000-000024090000}"/>
    <cellStyle name="Normal 2 2 2 2 5 2 3" xfId="2674" xr:uid="{00000000-0005-0000-0000-000025090000}"/>
    <cellStyle name="Normal 2 2 2 2 5 2 3 2" xfId="5411" xr:uid="{00000000-0005-0000-0000-000026090000}"/>
    <cellStyle name="Normal 2 2 2 2 5 2 4" xfId="3572" xr:uid="{00000000-0005-0000-0000-000027090000}"/>
    <cellStyle name="Normal 2 2 2 2 5 3" xfId="1335" xr:uid="{00000000-0005-0000-0000-000028090000}"/>
    <cellStyle name="Normal 2 2 2 2 5 3 2" xfId="4072" xr:uid="{00000000-0005-0000-0000-000029090000}"/>
    <cellStyle name="Normal 2 2 2 2 5 4" xfId="2227" xr:uid="{00000000-0005-0000-0000-00002A090000}"/>
    <cellStyle name="Normal 2 2 2 2 5 4 2" xfId="4964" xr:uid="{00000000-0005-0000-0000-00002B090000}"/>
    <cellStyle name="Normal 2 2 2 2 5 5" xfId="3125" xr:uid="{00000000-0005-0000-0000-00002C090000}"/>
    <cellStyle name="Normal 2 2 2 2 6" xfId="589" xr:uid="{00000000-0005-0000-0000-00002D090000}"/>
    <cellStyle name="Normal 2 2 2 2 6 2" xfId="1539" xr:uid="{00000000-0005-0000-0000-00002E090000}"/>
    <cellStyle name="Normal 2 2 2 2 6 2 2" xfId="4276" xr:uid="{00000000-0005-0000-0000-00002F090000}"/>
    <cellStyle name="Normal 2 2 2 2 6 3" xfId="2431" xr:uid="{00000000-0005-0000-0000-000030090000}"/>
    <cellStyle name="Normal 2 2 2 2 6 3 2" xfId="5168" xr:uid="{00000000-0005-0000-0000-000031090000}"/>
    <cellStyle name="Normal 2 2 2 2 6 4" xfId="3329" xr:uid="{00000000-0005-0000-0000-000032090000}"/>
    <cellStyle name="Normal 2 2 2 2 7" xfId="1037" xr:uid="{00000000-0005-0000-0000-000033090000}"/>
    <cellStyle name="Normal 2 2 2 2 7 2" xfId="3776" xr:uid="{00000000-0005-0000-0000-000034090000}"/>
    <cellStyle name="Normal 2 2 2 2 8" xfId="1086" xr:uid="{00000000-0005-0000-0000-000035090000}"/>
    <cellStyle name="Normal 2 2 2 2 8 2" xfId="3823" xr:uid="{00000000-0005-0000-0000-000036090000}"/>
    <cellStyle name="Normal 2 2 2 2 9" xfId="1978" xr:uid="{00000000-0005-0000-0000-000037090000}"/>
    <cellStyle name="Normal 2 2 2 2 9 2" xfId="4715" xr:uid="{00000000-0005-0000-0000-000038090000}"/>
    <cellStyle name="Normal 2 2 2 3" xfId="146" xr:uid="{00000000-0005-0000-0000-000039090000}"/>
    <cellStyle name="Normal 2 2 2 3 2" xfId="259" xr:uid="{00000000-0005-0000-0000-00003A090000}"/>
    <cellStyle name="Normal 2 2 2 3 2 2" xfId="513" xr:uid="{00000000-0005-0000-0000-00003B090000}"/>
    <cellStyle name="Normal 2 2 2 3 2 2 2" xfId="961" xr:uid="{00000000-0005-0000-0000-00003C090000}"/>
    <cellStyle name="Normal 2 2 2 3 2 2 2 2" xfId="1911" xr:uid="{00000000-0005-0000-0000-00003D090000}"/>
    <cellStyle name="Normal 2 2 2 3 2 2 2 2 2" xfId="4648" xr:uid="{00000000-0005-0000-0000-00003E090000}"/>
    <cellStyle name="Normal 2 2 2 3 2 2 2 3" xfId="2803" xr:uid="{00000000-0005-0000-0000-00003F090000}"/>
    <cellStyle name="Normal 2 2 2 3 2 2 2 3 2" xfId="5540" xr:uid="{00000000-0005-0000-0000-000040090000}"/>
    <cellStyle name="Normal 2 2 2 3 2 2 2 4" xfId="3701" xr:uid="{00000000-0005-0000-0000-000041090000}"/>
    <cellStyle name="Normal 2 2 2 3 2 2 3" xfId="1464" xr:uid="{00000000-0005-0000-0000-000042090000}"/>
    <cellStyle name="Normal 2 2 2 3 2 2 3 2" xfId="4201" xr:uid="{00000000-0005-0000-0000-000043090000}"/>
    <cellStyle name="Normal 2 2 2 3 2 2 4" xfId="2356" xr:uid="{00000000-0005-0000-0000-000044090000}"/>
    <cellStyle name="Normal 2 2 2 3 2 2 4 2" xfId="5093" xr:uid="{00000000-0005-0000-0000-000045090000}"/>
    <cellStyle name="Normal 2 2 2 3 2 2 5" xfId="3254" xr:uid="{00000000-0005-0000-0000-000046090000}"/>
    <cellStyle name="Normal 2 2 2 3 2 3" xfId="712" xr:uid="{00000000-0005-0000-0000-000047090000}"/>
    <cellStyle name="Normal 2 2 2 3 2 3 2" xfId="1662" xr:uid="{00000000-0005-0000-0000-000048090000}"/>
    <cellStyle name="Normal 2 2 2 3 2 3 2 2" xfId="4399" xr:uid="{00000000-0005-0000-0000-000049090000}"/>
    <cellStyle name="Normal 2 2 2 3 2 3 3" xfId="2554" xr:uid="{00000000-0005-0000-0000-00004A090000}"/>
    <cellStyle name="Normal 2 2 2 3 2 3 3 2" xfId="5291" xr:uid="{00000000-0005-0000-0000-00004B090000}"/>
    <cellStyle name="Normal 2 2 2 3 2 3 4" xfId="3452" xr:uid="{00000000-0005-0000-0000-00004C090000}"/>
    <cellStyle name="Normal 2 2 2 3 2 4" xfId="1215" xr:uid="{00000000-0005-0000-0000-00004D090000}"/>
    <cellStyle name="Normal 2 2 2 3 2 4 2" xfId="3952" xr:uid="{00000000-0005-0000-0000-00004E090000}"/>
    <cellStyle name="Normal 2 2 2 3 2 5" xfId="2107" xr:uid="{00000000-0005-0000-0000-00004F090000}"/>
    <cellStyle name="Normal 2 2 2 3 2 5 2" xfId="4844" xr:uid="{00000000-0005-0000-0000-000050090000}"/>
    <cellStyle name="Normal 2 2 2 3 2 6" xfId="3005" xr:uid="{00000000-0005-0000-0000-000051090000}"/>
    <cellStyle name="Normal 2 2 2 3 3" xfId="402" xr:uid="{00000000-0005-0000-0000-000052090000}"/>
    <cellStyle name="Normal 2 2 2 3 3 2" xfId="850" xr:uid="{00000000-0005-0000-0000-000053090000}"/>
    <cellStyle name="Normal 2 2 2 3 3 2 2" xfId="1800" xr:uid="{00000000-0005-0000-0000-000054090000}"/>
    <cellStyle name="Normal 2 2 2 3 3 2 2 2" xfId="4537" xr:uid="{00000000-0005-0000-0000-000055090000}"/>
    <cellStyle name="Normal 2 2 2 3 3 2 3" xfId="2692" xr:uid="{00000000-0005-0000-0000-000056090000}"/>
    <cellStyle name="Normal 2 2 2 3 3 2 3 2" xfId="5429" xr:uid="{00000000-0005-0000-0000-000057090000}"/>
    <cellStyle name="Normal 2 2 2 3 3 2 4" xfId="3590" xr:uid="{00000000-0005-0000-0000-000058090000}"/>
    <cellStyle name="Normal 2 2 2 3 3 3" xfId="1353" xr:uid="{00000000-0005-0000-0000-000059090000}"/>
    <cellStyle name="Normal 2 2 2 3 3 3 2" xfId="4090" xr:uid="{00000000-0005-0000-0000-00005A090000}"/>
    <cellStyle name="Normal 2 2 2 3 3 4" xfId="2245" xr:uid="{00000000-0005-0000-0000-00005B090000}"/>
    <cellStyle name="Normal 2 2 2 3 3 4 2" xfId="4982" xr:uid="{00000000-0005-0000-0000-00005C090000}"/>
    <cellStyle name="Normal 2 2 2 3 3 5" xfId="3143" xr:uid="{00000000-0005-0000-0000-00005D090000}"/>
    <cellStyle name="Normal 2 2 2 3 4" xfId="611" xr:uid="{00000000-0005-0000-0000-00005E090000}"/>
    <cellStyle name="Normal 2 2 2 3 4 2" xfId="1561" xr:uid="{00000000-0005-0000-0000-00005F090000}"/>
    <cellStyle name="Normal 2 2 2 3 4 2 2" xfId="4298" xr:uid="{00000000-0005-0000-0000-000060090000}"/>
    <cellStyle name="Normal 2 2 2 3 4 3" xfId="2453" xr:uid="{00000000-0005-0000-0000-000061090000}"/>
    <cellStyle name="Normal 2 2 2 3 4 3 2" xfId="5190" xr:uid="{00000000-0005-0000-0000-000062090000}"/>
    <cellStyle name="Normal 2 2 2 3 4 4" xfId="3351" xr:uid="{00000000-0005-0000-0000-000063090000}"/>
    <cellStyle name="Normal 2 2 2 3 5" xfId="1104" xr:uid="{00000000-0005-0000-0000-000064090000}"/>
    <cellStyle name="Normal 2 2 2 3 5 2" xfId="3841" xr:uid="{00000000-0005-0000-0000-000065090000}"/>
    <cellStyle name="Normal 2 2 2 3 6" xfId="1996" xr:uid="{00000000-0005-0000-0000-000066090000}"/>
    <cellStyle name="Normal 2 2 2 3 6 2" xfId="4733" xr:uid="{00000000-0005-0000-0000-000067090000}"/>
    <cellStyle name="Normal 2 2 2 3 7" xfId="2894" xr:uid="{00000000-0005-0000-0000-000068090000}"/>
    <cellStyle name="Normal 2 2 2 4" xfId="195" xr:uid="{00000000-0005-0000-0000-000069090000}"/>
    <cellStyle name="Normal 2 2 2 4 2" xfId="450" xr:uid="{00000000-0005-0000-0000-00006A090000}"/>
    <cellStyle name="Normal 2 2 2 4 2 2" xfId="898" xr:uid="{00000000-0005-0000-0000-00006B090000}"/>
    <cellStyle name="Normal 2 2 2 4 2 2 2" xfId="1848" xr:uid="{00000000-0005-0000-0000-00006C090000}"/>
    <cellStyle name="Normal 2 2 2 4 2 2 2 2" xfId="4585" xr:uid="{00000000-0005-0000-0000-00006D090000}"/>
    <cellStyle name="Normal 2 2 2 4 2 2 3" xfId="2740" xr:uid="{00000000-0005-0000-0000-00006E090000}"/>
    <cellStyle name="Normal 2 2 2 4 2 2 3 2" xfId="5477" xr:uid="{00000000-0005-0000-0000-00006F090000}"/>
    <cellStyle name="Normal 2 2 2 4 2 2 4" xfId="3638" xr:uid="{00000000-0005-0000-0000-000070090000}"/>
    <cellStyle name="Normal 2 2 2 4 2 3" xfId="1401" xr:uid="{00000000-0005-0000-0000-000071090000}"/>
    <cellStyle name="Normal 2 2 2 4 2 3 2" xfId="4138" xr:uid="{00000000-0005-0000-0000-000072090000}"/>
    <cellStyle name="Normal 2 2 2 4 2 4" xfId="2293" xr:uid="{00000000-0005-0000-0000-000073090000}"/>
    <cellStyle name="Normal 2 2 2 4 2 4 2" xfId="5030" xr:uid="{00000000-0005-0000-0000-000074090000}"/>
    <cellStyle name="Normal 2 2 2 4 2 5" xfId="3191" xr:uid="{00000000-0005-0000-0000-000075090000}"/>
    <cellStyle name="Normal 2 2 2 4 3" xfId="653" xr:uid="{00000000-0005-0000-0000-000076090000}"/>
    <cellStyle name="Normal 2 2 2 4 3 2" xfId="1603" xr:uid="{00000000-0005-0000-0000-000077090000}"/>
    <cellStyle name="Normal 2 2 2 4 3 2 2" xfId="4340" xr:uid="{00000000-0005-0000-0000-000078090000}"/>
    <cellStyle name="Normal 2 2 2 4 3 3" xfId="2495" xr:uid="{00000000-0005-0000-0000-000079090000}"/>
    <cellStyle name="Normal 2 2 2 4 3 3 2" xfId="5232" xr:uid="{00000000-0005-0000-0000-00007A090000}"/>
    <cellStyle name="Normal 2 2 2 4 3 4" xfId="3393" xr:uid="{00000000-0005-0000-0000-00007B090000}"/>
    <cellStyle name="Normal 2 2 2 4 4" xfId="1152" xr:uid="{00000000-0005-0000-0000-00007C090000}"/>
    <cellStyle name="Normal 2 2 2 4 4 2" xfId="3889" xr:uid="{00000000-0005-0000-0000-00007D090000}"/>
    <cellStyle name="Normal 2 2 2 4 5" xfId="2044" xr:uid="{00000000-0005-0000-0000-00007E090000}"/>
    <cellStyle name="Normal 2 2 2 4 5 2" xfId="4781" xr:uid="{00000000-0005-0000-0000-00007F090000}"/>
    <cellStyle name="Normal 2 2 2 4 6" xfId="2942" xr:uid="{00000000-0005-0000-0000-000080090000}"/>
    <cellStyle name="Normal 2 2 2 5" xfId="218" xr:uid="{00000000-0005-0000-0000-000081090000}"/>
    <cellStyle name="Normal 2 2 2 5 2" xfId="472" xr:uid="{00000000-0005-0000-0000-000082090000}"/>
    <cellStyle name="Normal 2 2 2 5 2 2" xfId="920" xr:uid="{00000000-0005-0000-0000-000083090000}"/>
    <cellStyle name="Normal 2 2 2 5 2 2 2" xfId="1870" xr:uid="{00000000-0005-0000-0000-000084090000}"/>
    <cellStyle name="Normal 2 2 2 5 2 2 2 2" xfId="4607" xr:uid="{00000000-0005-0000-0000-000085090000}"/>
    <cellStyle name="Normal 2 2 2 5 2 2 3" xfId="2762" xr:uid="{00000000-0005-0000-0000-000086090000}"/>
    <cellStyle name="Normal 2 2 2 5 2 2 3 2" xfId="5499" xr:uid="{00000000-0005-0000-0000-000087090000}"/>
    <cellStyle name="Normal 2 2 2 5 2 2 4" xfId="3660" xr:uid="{00000000-0005-0000-0000-000088090000}"/>
    <cellStyle name="Normal 2 2 2 5 2 3" xfId="1423" xr:uid="{00000000-0005-0000-0000-000089090000}"/>
    <cellStyle name="Normal 2 2 2 5 2 3 2" xfId="4160" xr:uid="{00000000-0005-0000-0000-00008A090000}"/>
    <cellStyle name="Normal 2 2 2 5 2 4" xfId="2315" xr:uid="{00000000-0005-0000-0000-00008B090000}"/>
    <cellStyle name="Normal 2 2 2 5 2 4 2" xfId="5052" xr:uid="{00000000-0005-0000-0000-00008C090000}"/>
    <cellStyle name="Normal 2 2 2 5 2 5" xfId="3213" xr:uid="{00000000-0005-0000-0000-00008D090000}"/>
    <cellStyle name="Normal 2 2 2 5 3" xfId="671" xr:uid="{00000000-0005-0000-0000-00008E090000}"/>
    <cellStyle name="Normal 2 2 2 5 3 2" xfId="1621" xr:uid="{00000000-0005-0000-0000-00008F090000}"/>
    <cellStyle name="Normal 2 2 2 5 3 2 2" xfId="4358" xr:uid="{00000000-0005-0000-0000-000090090000}"/>
    <cellStyle name="Normal 2 2 2 5 3 3" xfId="2513" xr:uid="{00000000-0005-0000-0000-000091090000}"/>
    <cellStyle name="Normal 2 2 2 5 3 3 2" xfId="5250" xr:uid="{00000000-0005-0000-0000-000092090000}"/>
    <cellStyle name="Normal 2 2 2 5 3 4" xfId="3411" xr:uid="{00000000-0005-0000-0000-000093090000}"/>
    <cellStyle name="Normal 2 2 2 5 4" xfId="1174" xr:uid="{00000000-0005-0000-0000-000094090000}"/>
    <cellStyle name="Normal 2 2 2 5 4 2" xfId="3911" xr:uid="{00000000-0005-0000-0000-000095090000}"/>
    <cellStyle name="Normal 2 2 2 5 5" xfId="2066" xr:uid="{00000000-0005-0000-0000-000096090000}"/>
    <cellStyle name="Normal 2 2 2 5 5 2" xfId="4803" xr:uid="{00000000-0005-0000-0000-000097090000}"/>
    <cellStyle name="Normal 2 2 2 5 6" xfId="2964" xr:uid="{00000000-0005-0000-0000-000098090000}"/>
    <cellStyle name="Normal 2 2 2 6" xfId="307" xr:uid="{00000000-0005-0000-0000-000099090000}"/>
    <cellStyle name="Normal 2 2 2 6 2" xfId="760" xr:uid="{00000000-0005-0000-0000-00009A090000}"/>
    <cellStyle name="Normal 2 2 2 6 2 2" xfId="1710" xr:uid="{00000000-0005-0000-0000-00009B090000}"/>
    <cellStyle name="Normal 2 2 2 6 2 2 2" xfId="4447" xr:uid="{00000000-0005-0000-0000-00009C090000}"/>
    <cellStyle name="Normal 2 2 2 6 2 3" xfId="2602" xr:uid="{00000000-0005-0000-0000-00009D090000}"/>
    <cellStyle name="Normal 2 2 2 6 2 3 2" xfId="5339" xr:uid="{00000000-0005-0000-0000-00009E090000}"/>
    <cellStyle name="Normal 2 2 2 6 2 4" xfId="3500" xr:uid="{00000000-0005-0000-0000-00009F090000}"/>
    <cellStyle name="Normal 2 2 2 6 3" xfId="1263" xr:uid="{00000000-0005-0000-0000-0000A0090000}"/>
    <cellStyle name="Normal 2 2 2 6 3 2" xfId="4000" xr:uid="{00000000-0005-0000-0000-0000A1090000}"/>
    <cellStyle name="Normal 2 2 2 6 4" xfId="2155" xr:uid="{00000000-0005-0000-0000-0000A2090000}"/>
    <cellStyle name="Normal 2 2 2 6 4 2" xfId="4892" xr:uid="{00000000-0005-0000-0000-0000A3090000}"/>
    <cellStyle name="Normal 2 2 2 6 5" xfId="3053" xr:uid="{00000000-0005-0000-0000-0000A4090000}"/>
    <cellStyle name="Normal 2 2 2 7" xfId="361" xr:uid="{00000000-0005-0000-0000-0000A5090000}"/>
    <cellStyle name="Normal 2 2 2 7 2" xfId="809" xr:uid="{00000000-0005-0000-0000-0000A6090000}"/>
    <cellStyle name="Normal 2 2 2 7 2 2" xfId="1759" xr:uid="{00000000-0005-0000-0000-0000A7090000}"/>
    <cellStyle name="Normal 2 2 2 7 2 2 2" xfId="4496" xr:uid="{00000000-0005-0000-0000-0000A8090000}"/>
    <cellStyle name="Normal 2 2 2 7 2 3" xfId="2651" xr:uid="{00000000-0005-0000-0000-0000A9090000}"/>
    <cellStyle name="Normal 2 2 2 7 2 3 2" xfId="5388" xr:uid="{00000000-0005-0000-0000-0000AA090000}"/>
    <cellStyle name="Normal 2 2 2 7 2 4" xfId="3549" xr:uid="{00000000-0005-0000-0000-0000AB090000}"/>
    <cellStyle name="Normal 2 2 2 7 3" xfId="1312" xr:uid="{00000000-0005-0000-0000-0000AC090000}"/>
    <cellStyle name="Normal 2 2 2 7 3 2" xfId="4049" xr:uid="{00000000-0005-0000-0000-0000AD090000}"/>
    <cellStyle name="Normal 2 2 2 7 4" xfId="2204" xr:uid="{00000000-0005-0000-0000-0000AE090000}"/>
    <cellStyle name="Normal 2 2 2 7 4 2" xfId="4941" xr:uid="{00000000-0005-0000-0000-0000AF090000}"/>
    <cellStyle name="Normal 2 2 2 7 5" xfId="3102" xr:uid="{00000000-0005-0000-0000-0000B0090000}"/>
    <cellStyle name="Normal 2 2 2 8" xfId="561" xr:uid="{00000000-0005-0000-0000-0000B1090000}"/>
    <cellStyle name="Normal 2 2 2 8 2" xfId="1512" xr:uid="{00000000-0005-0000-0000-0000B2090000}"/>
    <cellStyle name="Normal 2 2 2 8 2 2" xfId="4249" xr:uid="{00000000-0005-0000-0000-0000B3090000}"/>
    <cellStyle name="Normal 2 2 2 8 3" xfId="2404" xr:uid="{00000000-0005-0000-0000-0000B4090000}"/>
    <cellStyle name="Normal 2 2 2 8 3 2" xfId="5141" xr:uid="{00000000-0005-0000-0000-0000B5090000}"/>
    <cellStyle name="Normal 2 2 2 8 4" xfId="3302" xr:uid="{00000000-0005-0000-0000-0000B6090000}"/>
    <cellStyle name="Normal 2 2 2 9" xfId="1009" xr:uid="{00000000-0005-0000-0000-0000B7090000}"/>
    <cellStyle name="Normal 2 2 2 9 2" xfId="3749" xr:uid="{00000000-0005-0000-0000-0000B8090000}"/>
    <cellStyle name="Normal 2 2 3" xfId="100" xr:uid="{00000000-0005-0000-0000-0000B9090000}"/>
    <cellStyle name="Normal 2 2 3 10" xfId="1066" xr:uid="{00000000-0005-0000-0000-0000BA090000}"/>
    <cellStyle name="Normal 2 2 3 10 2" xfId="3803" xr:uid="{00000000-0005-0000-0000-0000BB090000}"/>
    <cellStyle name="Normal 2 2 3 11" xfId="1958" xr:uid="{00000000-0005-0000-0000-0000BC090000}"/>
    <cellStyle name="Normal 2 2 3 11 2" xfId="4695" xr:uid="{00000000-0005-0000-0000-0000BD090000}"/>
    <cellStyle name="Normal 2 2 3 12" xfId="2856" xr:uid="{00000000-0005-0000-0000-0000BE090000}"/>
    <cellStyle name="Normal 2 2 3 2" xfId="122" xr:uid="{00000000-0005-0000-0000-0000BF090000}"/>
    <cellStyle name="Normal 2 2 3 2 10" xfId="2877" xr:uid="{00000000-0005-0000-0000-0000C0090000}"/>
    <cellStyle name="Normal 2 2 3 2 2" xfId="170" xr:uid="{00000000-0005-0000-0000-0000C1090000}"/>
    <cellStyle name="Normal 2 2 3 2 2 2" xfId="283" xr:uid="{00000000-0005-0000-0000-0000C2090000}"/>
    <cellStyle name="Normal 2 2 3 2 2 2 2" xfId="537" xr:uid="{00000000-0005-0000-0000-0000C3090000}"/>
    <cellStyle name="Normal 2 2 3 2 2 2 2 2" xfId="985" xr:uid="{00000000-0005-0000-0000-0000C4090000}"/>
    <cellStyle name="Normal 2 2 3 2 2 2 2 2 2" xfId="1935" xr:uid="{00000000-0005-0000-0000-0000C5090000}"/>
    <cellStyle name="Normal 2 2 3 2 2 2 2 2 2 2" xfId="4672" xr:uid="{00000000-0005-0000-0000-0000C6090000}"/>
    <cellStyle name="Normal 2 2 3 2 2 2 2 2 3" xfId="2827" xr:uid="{00000000-0005-0000-0000-0000C7090000}"/>
    <cellStyle name="Normal 2 2 3 2 2 2 2 2 3 2" xfId="5564" xr:uid="{00000000-0005-0000-0000-0000C8090000}"/>
    <cellStyle name="Normal 2 2 3 2 2 2 2 2 4" xfId="3725" xr:uid="{00000000-0005-0000-0000-0000C9090000}"/>
    <cellStyle name="Normal 2 2 3 2 2 2 2 3" xfId="1488" xr:uid="{00000000-0005-0000-0000-0000CA090000}"/>
    <cellStyle name="Normal 2 2 3 2 2 2 2 3 2" xfId="4225" xr:uid="{00000000-0005-0000-0000-0000CB090000}"/>
    <cellStyle name="Normal 2 2 3 2 2 2 2 4" xfId="2380" xr:uid="{00000000-0005-0000-0000-0000CC090000}"/>
    <cellStyle name="Normal 2 2 3 2 2 2 2 4 2" xfId="5117" xr:uid="{00000000-0005-0000-0000-0000CD090000}"/>
    <cellStyle name="Normal 2 2 3 2 2 2 2 5" xfId="3278" xr:uid="{00000000-0005-0000-0000-0000CE090000}"/>
    <cellStyle name="Normal 2 2 3 2 2 2 3" xfId="736" xr:uid="{00000000-0005-0000-0000-0000CF090000}"/>
    <cellStyle name="Normal 2 2 3 2 2 2 3 2" xfId="1686" xr:uid="{00000000-0005-0000-0000-0000D0090000}"/>
    <cellStyle name="Normal 2 2 3 2 2 2 3 2 2" xfId="4423" xr:uid="{00000000-0005-0000-0000-0000D1090000}"/>
    <cellStyle name="Normal 2 2 3 2 2 2 3 3" xfId="2578" xr:uid="{00000000-0005-0000-0000-0000D2090000}"/>
    <cellStyle name="Normal 2 2 3 2 2 2 3 3 2" xfId="5315" xr:uid="{00000000-0005-0000-0000-0000D3090000}"/>
    <cellStyle name="Normal 2 2 3 2 2 2 3 4" xfId="3476" xr:uid="{00000000-0005-0000-0000-0000D4090000}"/>
    <cellStyle name="Normal 2 2 3 2 2 2 4" xfId="1239" xr:uid="{00000000-0005-0000-0000-0000D5090000}"/>
    <cellStyle name="Normal 2 2 3 2 2 2 4 2" xfId="3976" xr:uid="{00000000-0005-0000-0000-0000D6090000}"/>
    <cellStyle name="Normal 2 2 3 2 2 2 5" xfId="2131" xr:uid="{00000000-0005-0000-0000-0000D7090000}"/>
    <cellStyle name="Normal 2 2 3 2 2 2 5 2" xfId="4868" xr:uid="{00000000-0005-0000-0000-0000D8090000}"/>
    <cellStyle name="Normal 2 2 3 2 2 2 6" xfId="3029" xr:uid="{00000000-0005-0000-0000-0000D9090000}"/>
    <cellStyle name="Normal 2 2 3 2 2 3" xfId="426" xr:uid="{00000000-0005-0000-0000-0000DA090000}"/>
    <cellStyle name="Normal 2 2 3 2 2 3 2" xfId="874" xr:uid="{00000000-0005-0000-0000-0000DB090000}"/>
    <cellStyle name="Normal 2 2 3 2 2 3 2 2" xfId="1824" xr:uid="{00000000-0005-0000-0000-0000DC090000}"/>
    <cellStyle name="Normal 2 2 3 2 2 3 2 2 2" xfId="4561" xr:uid="{00000000-0005-0000-0000-0000DD090000}"/>
    <cellStyle name="Normal 2 2 3 2 2 3 2 3" xfId="2716" xr:uid="{00000000-0005-0000-0000-0000DE090000}"/>
    <cellStyle name="Normal 2 2 3 2 2 3 2 3 2" xfId="5453" xr:uid="{00000000-0005-0000-0000-0000DF090000}"/>
    <cellStyle name="Normal 2 2 3 2 2 3 2 4" xfId="3614" xr:uid="{00000000-0005-0000-0000-0000E0090000}"/>
    <cellStyle name="Normal 2 2 3 2 2 3 3" xfId="1377" xr:uid="{00000000-0005-0000-0000-0000E1090000}"/>
    <cellStyle name="Normal 2 2 3 2 2 3 3 2" xfId="4114" xr:uid="{00000000-0005-0000-0000-0000E2090000}"/>
    <cellStyle name="Normal 2 2 3 2 2 3 4" xfId="2269" xr:uid="{00000000-0005-0000-0000-0000E3090000}"/>
    <cellStyle name="Normal 2 2 3 2 2 3 4 2" xfId="5006" xr:uid="{00000000-0005-0000-0000-0000E4090000}"/>
    <cellStyle name="Normal 2 2 3 2 2 3 5" xfId="3167" xr:uid="{00000000-0005-0000-0000-0000E5090000}"/>
    <cellStyle name="Normal 2 2 3 2 2 4" xfId="635" xr:uid="{00000000-0005-0000-0000-0000E6090000}"/>
    <cellStyle name="Normal 2 2 3 2 2 4 2" xfId="1585" xr:uid="{00000000-0005-0000-0000-0000E7090000}"/>
    <cellStyle name="Normal 2 2 3 2 2 4 2 2" xfId="4322" xr:uid="{00000000-0005-0000-0000-0000E8090000}"/>
    <cellStyle name="Normal 2 2 3 2 2 4 3" xfId="2477" xr:uid="{00000000-0005-0000-0000-0000E9090000}"/>
    <cellStyle name="Normal 2 2 3 2 2 4 3 2" xfId="5214" xr:uid="{00000000-0005-0000-0000-0000EA090000}"/>
    <cellStyle name="Normal 2 2 3 2 2 4 4" xfId="3375" xr:uid="{00000000-0005-0000-0000-0000EB090000}"/>
    <cellStyle name="Normal 2 2 3 2 2 5" xfId="1128" xr:uid="{00000000-0005-0000-0000-0000EC090000}"/>
    <cellStyle name="Normal 2 2 3 2 2 5 2" xfId="3865" xr:uid="{00000000-0005-0000-0000-0000ED090000}"/>
    <cellStyle name="Normal 2 2 3 2 2 6" xfId="2020" xr:uid="{00000000-0005-0000-0000-0000EE090000}"/>
    <cellStyle name="Normal 2 2 3 2 2 6 2" xfId="4757" xr:uid="{00000000-0005-0000-0000-0000EF090000}"/>
    <cellStyle name="Normal 2 2 3 2 2 7" xfId="2918" xr:uid="{00000000-0005-0000-0000-0000F0090000}"/>
    <cellStyle name="Normal 2 2 3 2 3" xfId="242" xr:uid="{00000000-0005-0000-0000-0000F1090000}"/>
    <cellStyle name="Normal 2 2 3 2 3 2" xfId="496" xr:uid="{00000000-0005-0000-0000-0000F2090000}"/>
    <cellStyle name="Normal 2 2 3 2 3 2 2" xfId="944" xr:uid="{00000000-0005-0000-0000-0000F3090000}"/>
    <cellStyle name="Normal 2 2 3 2 3 2 2 2" xfId="1894" xr:uid="{00000000-0005-0000-0000-0000F4090000}"/>
    <cellStyle name="Normal 2 2 3 2 3 2 2 2 2" xfId="4631" xr:uid="{00000000-0005-0000-0000-0000F5090000}"/>
    <cellStyle name="Normal 2 2 3 2 3 2 2 3" xfId="2786" xr:uid="{00000000-0005-0000-0000-0000F6090000}"/>
    <cellStyle name="Normal 2 2 3 2 3 2 2 3 2" xfId="5523" xr:uid="{00000000-0005-0000-0000-0000F7090000}"/>
    <cellStyle name="Normal 2 2 3 2 3 2 2 4" xfId="3684" xr:uid="{00000000-0005-0000-0000-0000F8090000}"/>
    <cellStyle name="Normal 2 2 3 2 3 2 3" xfId="1447" xr:uid="{00000000-0005-0000-0000-0000F9090000}"/>
    <cellStyle name="Normal 2 2 3 2 3 2 3 2" xfId="4184" xr:uid="{00000000-0005-0000-0000-0000FA090000}"/>
    <cellStyle name="Normal 2 2 3 2 3 2 4" xfId="2339" xr:uid="{00000000-0005-0000-0000-0000FB090000}"/>
    <cellStyle name="Normal 2 2 3 2 3 2 4 2" xfId="5076" xr:uid="{00000000-0005-0000-0000-0000FC090000}"/>
    <cellStyle name="Normal 2 2 3 2 3 2 5" xfId="3237" xr:uid="{00000000-0005-0000-0000-0000FD090000}"/>
    <cellStyle name="Normal 2 2 3 2 3 3" xfId="695" xr:uid="{00000000-0005-0000-0000-0000FE090000}"/>
    <cellStyle name="Normal 2 2 3 2 3 3 2" xfId="1645" xr:uid="{00000000-0005-0000-0000-0000FF090000}"/>
    <cellStyle name="Normal 2 2 3 2 3 3 2 2" xfId="4382" xr:uid="{00000000-0005-0000-0000-0000000A0000}"/>
    <cellStyle name="Normal 2 2 3 2 3 3 3" xfId="2537" xr:uid="{00000000-0005-0000-0000-0000010A0000}"/>
    <cellStyle name="Normal 2 2 3 2 3 3 3 2" xfId="5274" xr:uid="{00000000-0005-0000-0000-0000020A0000}"/>
    <cellStyle name="Normal 2 2 3 2 3 3 4" xfId="3435" xr:uid="{00000000-0005-0000-0000-0000030A0000}"/>
    <cellStyle name="Normal 2 2 3 2 3 4" xfId="1198" xr:uid="{00000000-0005-0000-0000-0000040A0000}"/>
    <cellStyle name="Normal 2 2 3 2 3 4 2" xfId="3935" xr:uid="{00000000-0005-0000-0000-0000050A0000}"/>
    <cellStyle name="Normal 2 2 3 2 3 5" xfId="2090" xr:uid="{00000000-0005-0000-0000-0000060A0000}"/>
    <cellStyle name="Normal 2 2 3 2 3 5 2" xfId="4827" xr:uid="{00000000-0005-0000-0000-0000070A0000}"/>
    <cellStyle name="Normal 2 2 3 2 3 6" xfId="2988" xr:uid="{00000000-0005-0000-0000-0000080A0000}"/>
    <cellStyle name="Normal 2 2 3 2 4" xfId="335" xr:uid="{00000000-0005-0000-0000-0000090A0000}"/>
    <cellStyle name="Normal 2 2 3 2 4 2" xfId="788" xr:uid="{00000000-0005-0000-0000-00000A0A0000}"/>
    <cellStyle name="Normal 2 2 3 2 4 2 2" xfId="1738" xr:uid="{00000000-0005-0000-0000-00000B0A0000}"/>
    <cellStyle name="Normal 2 2 3 2 4 2 2 2" xfId="4475" xr:uid="{00000000-0005-0000-0000-00000C0A0000}"/>
    <cellStyle name="Normal 2 2 3 2 4 2 3" xfId="2630" xr:uid="{00000000-0005-0000-0000-00000D0A0000}"/>
    <cellStyle name="Normal 2 2 3 2 4 2 3 2" xfId="5367" xr:uid="{00000000-0005-0000-0000-00000E0A0000}"/>
    <cellStyle name="Normal 2 2 3 2 4 2 4" xfId="3528" xr:uid="{00000000-0005-0000-0000-00000F0A0000}"/>
    <cellStyle name="Normal 2 2 3 2 4 3" xfId="1291" xr:uid="{00000000-0005-0000-0000-0000100A0000}"/>
    <cellStyle name="Normal 2 2 3 2 4 3 2" xfId="4028" xr:uid="{00000000-0005-0000-0000-0000110A0000}"/>
    <cellStyle name="Normal 2 2 3 2 4 4" xfId="2183" xr:uid="{00000000-0005-0000-0000-0000120A0000}"/>
    <cellStyle name="Normal 2 2 3 2 4 4 2" xfId="4920" xr:uid="{00000000-0005-0000-0000-0000130A0000}"/>
    <cellStyle name="Normal 2 2 3 2 4 5" xfId="3081" xr:uid="{00000000-0005-0000-0000-0000140A0000}"/>
    <cellStyle name="Normal 2 2 3 2 5" xfId="385" xr:uid="{00000000-0005-0000-0000-0000150A0000}"/>
    <cellStyle name="Normal 2 2 3 2 5 2" xfId="833" xr:uid="{00000000-0005-0000-0000-0000160A0000}"/>
    <cellStyle name="Normal 2 2 3 2 5 2 2" xfId="1783" xr:uid="{00000000-0005-0000-0000-0000170A0000}"/>
    <cellStyle name="Normal 2 2 3 2 5 2 2 2" xfId="4520" xr:uid="{00000000-0005-0000-0000-0000180A0000}"/>
    <cellStyle name="Normal 2 2 3 2 5 2 3" xfId="2675" xr:uid="{00000000-0005-0000-0000-0000190A0000}"/>
    <cellStyle name="Normal 2 2 3 2 5 2 3 2" xfId="5412" xr:uid="{00000000-0005-0000-0000-00001A0A0000}"/>
    <cellStyle name="Normal 2 2 3 2 5 2 4" xfId="3573" xr:uid="{00000000-0005-0000-0000-00001B0A0000}"/>
    <cellStyle name="Normal 2 2 3 2 5 3" xfId="1336" xr:uid="{00000000-0005-0000-0000-00001C0A0000}"/>
    <cellStyle name="Normal 2 2 3 2 5 3 2" xfId="4073" xr:uid="{00000000-0005-0000-0000-00001D0A0000}"/>
    <cellStyle name="Normal 2 2 3 2 5 4" xfId="2228" xr:uid="{00000000-0005-0000-0000-00001E0A0000}"/>
    <cellStyle name="Normal 2 2 3 2 5 4 2" xfId="4965" xr:uid="{00000000-0005-0000-0000-00001F0A0000}"/>
    <cellStyle name="Normal 2 2 3 2 5 5" xfId="3126" xr:uid="{00000000-0005-0000-0000-0000200A0000}"/>
    <cellStyle name="Normal 2 2 3 2 6" xfId="590" xr:uid="{00000000-0005-0000-0000-0000210A0000}"/>
    <cellStyle name="Normal 2 2 3 2 6 2" xfId="1540" xr:uid="{00000000-0005-0000-0000-0000220A0000}"/>
    <cellStyle name="Normal 2 2 3 2 6 2 2" xfId="4277" xr:uid="{00000000-0005-0000-0000-0000230A0000}"/>
    <cellStyle name="Normal 2 2 3 2 6 3" xfId="2432" xr:uid="{00000000-0005-0000-0000-0000240A0000}"/>
    <cellStyle name="Normal 2 2 3 2 6 3 2" xfId="5169" xr:uid="{00000000-0005-0000-0000-0000250A0000}"/>
    <cellStyle name="Normal 2 2 3 2 6 4" xfId="3330" xr:uid="{00000000-0005-0000-0000-0000260A0000}"/>
    <cellStyle name="Normal 2 2 3 2 7" xfId="1038" xr:uid="{00000000-0005-0000-0000-0000270A0000}"/>
    <cellStyle name="Normal 2 2 3 2 7 2" xfId="3777" xr:uid="{00000000-0005-0000-0000-0000280A0000}"/>
    <cellStyle name="Normal 2 2 3 2 8" xfId="1087" xr:uid="{00000000-0005-0000-0000-0000290A0000}"/>
    <cellStyle name="Normal 2 2 3 2 8 2" xfId="3824" xr:uid="{00000000-0005-0000-0000-00002A0A0000}"/>
    <cellStyle name="Normal 2 2 3 2 9" xfId="1979" xr:uid="{00000000-0005-0000-0000-00002B0A0000}"/>
    <cellStyle name="Normal 2 2 3 2 9 2" xfId="4716" xr:uid="{00000000-0005-0000-0000-00002C0A0000}"/>
    <cellStyle name="Normal 2 2 3 3" xfId="149" xr:uid="{00000000-0005-0000-0000-00002D0A0000}"/>
    <cellStyle name="Normal 2 2 3 3 2" xfId="262" xr:uid="{00000000-0005-0000-0000-00002E0A0000}"/>
    <cellStyle name="Normal 2 2 3 3 2 2" xfId="516" xr:uid="{00000000-0005-0000-0000-00002F0A0000}"/>
    <cellStyle name="Normal 2 2 3 3 2 2 2" xfId="964" xr:uid="{00000000-0005-0000-0000-0000300A0000}"/>
    <cellStyle name="Normal 2 2 3 3 2 2 2 2" xfId="1914" xr:uid="{00000000-0005-0000-0000-0000310A0000}"/>
    <cellStyle name="Normal 2 2 3 3 2 2 2 2 2" xfId="4651" xr:uid="{00000000-0005-0000-0000-0000320A0000}"/>
    <cellStyle name="Normal 2 2 3 3 2 2 2 3" xfId="2806" xr:uid="{00000000-0005-0000-0000-0000330A0000}"/>
    <cellStyle name="Normal 2 2 3 3 2 2 2 3 2" xfId="5543" xr:uid="{00000000-0005-0000-0000-0000340A0000}"/>
    <cellStyle name="Normal 2 2 3 3 2 2 2 4" xfId="3704" xr:uid="{00000000-0005-0000-0000-0000350A0000}"/>
    <cellStyle name="Normal 2 2 3 3 2 2 3" xfId="1467" xr:uid="{00000000-0005-0000-0000-0000360A0000}"/>
    <cellStyle name="Normal 2 2 3 3 2 2 3 2" xfId="4204" xr:uid="{00000000-0005-0000-0000-0000370A0000}"/>
    <cellStyle name="Normal 2 2 3 3 2 2 4" xfId="2359" xr:uid="{00000000-0005-0000-0000-0000380A0000}"/>
    <cellStyle name="Normal 2 2 3 3 2 2 4 2" xfId="5096" xr:uid="{00000000-0005-0000-0000-0000390A0000}"/>
    <cellStyle name="Normal 2 2 3 3 2 2 5" xfId="3257" xr:uid="{00000000-0005-0000-0000-00003A0A0000}"/>
    <cellStyle name="Normal 2 2 3 3 2 3" xfId="715" xr:uid="{00000000-0005-0000-0000-00003B0A0000}"/>
    <cellStyle name="Normal 2 2 3 3 2 3 2" xfId="1665" xr:uid="{00000000-0005-0000-0000-00003C0A0000}"/>
    <cellStyle name="Normal 2 2 3 3 2 3 2 2" xfId="4402" xr:uid="{00000000-0005-0000-0000-00003D0A0000}"/>
    <cellStyle name="Normal 2 2 3 3 2 3 3" xfId="2557" xr:uid="{00000000-0005-0000-0000-00003E0A0000}"/>
    <cellStyle name="Normal 2 2 3 3 2 3 3 2" xfId="5294" xr:uid="{00000000-0005-0000-0000-00003F0A0000}"/>
    <cellStyle name="Normal 2 2 3 3 2 3 4" xfId="3455" xr:uid="{00000000-0005-0000-0000-0000400A0000}"/>
    <cellStyle name="Normal 2 2 3 3 2 4" xfId="1218" xr:uid="{00000000-0005-0000-0000-0000410A0000}"/>
    <cellStyle name="Normal 2 2 3 3 2 4 2" xfId="3955" xr:uid="{00000000-0005-0000-0000-0000420A0000}"/>
    <cellStyle name="Normal 2 2 3 3 2 5" xfId="2110" xr:uid="{00000000-0005-0000-0000-0000430A0000}"/>
    <cellStyle name="Normal 2 2 3 3 2 5 2" xfId="4847" xr:uid="{00000000-0005-0000-0000-0000440A0000}"/>
    <cellStyle name="Normal 2 2 3 3 2 6" xfId="3008" xr:uid="{00000000-0005-0000-0000-0000450A0000}"/>
    <cellStyle name="Normal 2 2 3 3 3" xfId="405" xr:uid="{00000000-0005-0000-0000-0000460A0000}"/>
    <cellStyle name="Normal 2 2 3 3 3 2" xfId="853" xr:uid="{00000000-0005-0000-0000-0000470A0000}"/>
    <cellStyle name="Normal 2 2 3 3 3 2 2" xfId="1803" xr:uid="{00000000-0005-0000-0000-0000480A0000}"/>
    <cellStyle name="Normal 2 2 3 3 3 2 2 2" xfId="4540" xr:uid="{00000000-0005-0000-0000-0000490A0000}"/>
    <cellStyle name="Normal 2 2 3 3 3 2 3" xfId="2695" xr:uid="{00000000-0005-0000-0000-00004A0A0000}"/>
    <cellStyle name="Normal 2 2 3 3 3 2 3 2" xfId="5432" xr:uid="{00000000-0005-0000-0000-00004B0A0000}"/>
    <cellStyle name="Normal 2 2 3 3 3 2 4" xfId="3593" xr:uid="{00000000-0005-0000-0000-00004C0A0000}"/>
    <cellStyle name="Normal 2 2 3 3 3 3" xfId="1356" xr:uid="{00000000-0005-0000-0000-00004D0A0000}"/>
    <cellStyle name="Normal 2 2 3 3 3 3 2" xfId="4093" xr:uid="{00000000-0005-0000-0000-00004E0A0000}"/>
    <cellStyle name="Normal 2 2 3 3 3 4" xfId="2248" xr:uid="{00000000-0005-0000-0000-00004F0A0000}"/>
    <cellStyle name="Normal 2 2 3 3 3 4 2" xfId="4985" xr:uid="{00000000-0005-0000-0000-0000500A0000}"/>
    <cellStyle name="Normal 2 2 3 3 3 5" xfId="3146" xr:uid="{00000000-0005-0000-0000-0000510A0000}"/>
    <cellStyle name="Normal 2 2 3 3 4" xfId="614" xr:uid="{00000000-0005-0000-0000-0000520A0000}"/>
    <cellStyle name="Normal 2 2 3 3 4 2" xfId="1564" xr:uid="{00000000-0005-0000-0000-0000530A0000}"/>
    <cellStyle name="Normal 2 2 3 3 4 2 2" xfId="4301" xr:uid="{00000000-0005-0000-0000-0000540A0000}"/>
    <cellStyle name="Normal 2 2 3 3 4 3" xfId="2456" xr:uid="{00000000-0005-0000-0000-0000550A0000}"/>
    <cellStyle name="Normal 2 2 3 3 4 3 2" xfId="5193" xr:uid="{00000000-0005-0000-0000-0000560A0000}"/>
    <cellStyle name="Normal 2 2 3 3 4 4" xfId="3354" xr:uid="{00000000-0005-0000-0000-0000570A0000}"/>
    <cellStyle name="Normal 2 2 3 3 5" xfId="1107" xr:uid="{00000000-0005-0000-0000-0000580A0000}"/>
    <cellStyle name="Normal 2 2 3 3 5 2" xfId="3844" xr:uid="{00000000-0005-0000-0000-0000590A0000}"/>
    <cellStyle name="Normal 2 2 3 3 6" xfId="1999" xr:uid="{00000000-0005-0000-0000-00005A0A0000}"/>
    <cellStyle name="Normal 2 2 3 3 6 2" xfId="4736" xr:uid="{00000000-0005-0000-0000-00005B0A0000}"/>
    <cellStyle name="Normal 2 2 3 3 7" xfId="2897" xr:uid="{00000000-0005-0000-0000-00005C0A0000}"/>
    <cellStyle name="Normal 2 2 3 4" xfId="196" xr:uid="{00000000-0005-0000-0000-00005D0A0000}"/>
    <cellStyle name="Normal 2 2 3 4 2" xfId="451" xr:uid="{00000000-0005-0000-0000-00005E0A0000}"/>
    <cellStyle name="Normal 2 2 3 4 2 2" xfId="899" xr:uid="{00000000-0005-0000-0000-00005F0A0000}"/>
    <cellStyle name="Normal 2 2 3 4 2 2 2" xfId="1849" xr:uid="{00000000-0005-0000-0000-0000600A0000}"/>
    <cellStyle name="Normal 2 2 3 4 2 2 2 2" xfId="4586" xr:uid="{00000000-0005-0000-0000-0000610A0000}"/>
    <cellStyle name="Normal 2 2 3 4 2 2 3" xfId="2741" xr:uid="{00000000-0005-0000-0000-0000620A0000}"/>
    <cellStyle name="Normal 2 2 3 4 2 2 3 2" xfId="5478" xr:uid="{00000000-0005-0000-0000-0000630A0000}"/>
    <cellStyle name="Normal 2 2 3 4 2 2 4" xfId="3639" xr:uid="{00000000-0005-0000-0000-0000640A0000}"/>
    <cellStyle name="Normal 2 2 3 4 2 3" xfId="1402" xr:uid="{00000000-0005-0000-0000-0000650A0000}"/>
    <cellStyle name="Normal 2 2 3 4 2 3 2" xfId="4139" xr:uid="{00000000-0005-0000-0000-0000660A0000}"/>
    <cellStyle name="Normal 2 2 3 4 2 4" xfId="2294" xr:uid="{00000000-0005-0000-0000-0000670A0000}"/>
    <cellStyle name="Normal 2 2 3 4 2 4 2" xfId="5031" xr:uid="{00000000-0005-0000-0000-0000680A0000}"/>
    <cellStyle name="Normal 2 2 3 4 2 5" xfId="3192" xr:uid="{00000000-0005-0000-0000-0000690A0000}"/>
    <cellStyle name="Normal 2 2 3 4 3" xfId="654" xr:uid="{00000000-0005-0000-0000-00006A0A0000}"/>
    <cellStyle name="Normal 2 2 3 4 3 2" xfId="1604" xr:uid="{00000000-0005-0000-0000-00006B0A0000}"/>
    <cellStyle name="Normal 2 2 3 4 3 2 2" xfId="4341" xr:uid="{00000000-0005-0000-0000-00006C0A0000}"/>
    <cellStyle name="Normal 2 2 3 4 3 3" xfId="2496" xr:uid="{00000000-0005-0000-0000-00006D0A0000}"/>
    <cellStyle name="Normal 2 2 3 4 3 3 2" xfId="5233" xr:uid="{00000000-0005-0000-0000-00006E0A0000}"/>
    <cellStyle name="Normal 2 2 3 4 3 4" xfId="3394" xr:uid="{00000000-0005-0000-0000-00006F0A0000}"/>
    <cellStyle name="Normal 2 2 3 4 4" xfId="1153" xr:uid="{00000000-0005-0000-0000-0000700A0000}"/>
    <cellStyle name="Normal 2 2 3 4 4 2" xfId="3890" xr:uid="{00000000-0005-0000-0000-0000710A0000}"/>
    <cellStyle name="Normal 2 2 3 4 5" xfId="2045" xr:uid="{00000000-0005-0000-0000-0000720A0000}"/>
    <cellStyle name="Normal 2 2 3 4 5 2" xfId="4782" xr:uid="{00000000-0005-0000-0000-0000730A0000}"/>
    <cellStyle name="Normal 2 2 3 4 6" xfId="2943" xr:uid="{00000000-0005-0000-0000-0000740A0000}"/>
    <cellStyle name="Normal 2 2 3 5" xfId="221" xr:uid="{00000000-0005-0000-0000-0000750A0000}"/>
    <cellStyle name="Normal 2 2 3 5 2" xfId="475" xr:uid="{00000000-0005-0000-0000-0000760A0000}"/>
    <cellStyle name="Normal 2 2 3 5 2 2" xfId="923" xr:uid="{00000000-0005-0000-0000-0000770A0000}"/>
    <cellStyle name="Normal 2 2 3 5 2 2 2" xfId="1873" xr:uid="{00000000-0005-0000-0000-0000780A0000}"/>
    <cellStyle name="Normal 2 2 3 5 2 2 2 2" xfId="4610" xr:uid="{00000000-0005-0000-0000-0000790A0000}"/>
    <cellStyle name="Normal 2 2 3 5 2 2 3" xfId="2765" xr:uid="{00000000-0005-0000-0000-00007A0A0000}"/>
    <cellStyle name="Normal 2 2 3 5 2 2 3 2" xfId="5502" xr:uid="{00000000-0005-0000-0000-00007B0A0000}"/>
    <cellStyle name="Normal 2 2 3 5 2 2 4" xfId="3663" xr:uid="{00000000-0005-0000-0000-00007C0A0000}"/>
    <cellStyle name="Normal 2 2 3 5 2 3" xfId="1426" xr:uid="{00000000-0005-0000-0000-00007D0A0000}"/>
    <cellStyle name="Normal 2 2 3 5 2 3 2" xfId="4163" xr:uid="{00000000-0005-0000-0000-00007E0A0000}"/>
    <cellStyle name="Normal 2 2 3 5 2 4" xfId="2318" xr:uid="{00000000-0005-0000-0000-00007F0A0000}"/>
    <cellStyle name="Normal 2 2 3 5 2 4 2" xfId="5055" xr:uid="{00000000-0005-0000-0000-0000800A0000}"/>
    <cellStyle name="Normal 2 2 3 5 2 5" xfId="3216" xr:uid="{00000000-0005-0000-0000-0000810A0000}"/>
    <cellStyle name="Normal 2 2 3 5 3" xfId="674" xr:uid="{00000000-0005-0000-0000-0000820A0000}"/>
    <cellStyle name="Normal 2 2 3 5 3 2" xfId="1624" xr:uid="{00000000-0005-0000-0000-0000830A0000}"/>
    <cellStyle name="Normal 2 2 3 5 3 2 2" xfId="4361" xr:uid="{00000000-0005-0000-0000-0000840A0000}"/>
    <cellStyle name="Normal 2 2 3 5 3 3" xfId="2516" xr:uid="{00000000-0005-0000-0000-0000850A0000}"/>
    <cellStyle name="Normal 2 2 3 5 3 3 2" xfId="5253" xr:uid="{00000000-0005-0000-0000-0000860A0000}"/>
    <cellStyle name="Normal 2 2 3 5 3 4" xfId="3414" xr:uid="{00000000-0005-0000-0000-0000870A0000}"/>
    <cellStyle name="Normal 2 2 3 5 4" xfId="1177" xr:uid="{00000000-0005-0000-0000-0000880A0000}"/>
    <cellStyle name="Normal 2 2 3 5 4 2" xfId="3914" xr:uid="{00000000-0005-0000-0000-0000890A0000}"/>
    <cellStyle name="Normal 2 2 3 5 5" xfId="2069" xr:uid="{00000000-0005-0000-0000-00008A0A0000}"/>
    <cellStyle name="Normal 2 2 3 5 5 2" xfId="4806" xr:uid="{00000000-0005-0000-0000-00008B0A0000}"/>
    <cellStyle name="Normal 2 2 3 5 6" xfId="2967" xr:uid="{00000000-0005-0000-0000-00008C0A0000}"/>
    <cellStyle name="Normal 2 2 3 6" xfId="308" xr:uid="{00000000-0005-0000-0000-00008D0A0000}"/>
    <cellStyle name="Normal 2 2 3 6 2" xfId="761" xr:uid="{00000000-0005-0000-0000-00008E0A0000}"/>
    <cellStyle name="Normal 2 2 3 6 2 2" xfId="1711" xr:uid="{00000000-0005-0000-0000-00008F0A0000}"/>
    <cellStyle name="Normal 2 2 3 6 2 2 2" xfId="4448" xr:uid="{00000000-0005-0000-0000-0000900A0000}"/>
    <cellStyle name="Normal 2 2 3 6 2 3" xfId="2603" xr:uid="{00000000-0005-0000-0000-0000910A0000}"/>
    <cellStyle name="Normal 2 2 3 6 2 3 2" xfId="5340" xr:uid="{00000000-0005-0000-0000-0000920A0000}"/>
    <cellStyle name="Normal 2 2 3 6 2 4" xfId="3501" xr:uid="{00000000-0005-0000-0000-0000930A0000}"/>
    <cellStyle name="Normal 2 2 3 6 3" xfId="1264" xr:uid="{00000000-0005-0000-0000-0000940A0000}"/>
    <cellStyle name="Normal 2 2 3 6 3 2" xfId="4001" xr:uid="{00000000-0005-0000-0000-0000950A0000}"/>
    <cellStyle name="Normal 2 2 3 6 4" xfId="2156" xr:uid="{00000000-0005-0000-0000-0000960A0000}"/>
    <cellStyle name="Normal 2 2 3 6 4 2" xfId="4893" xr:uid="{00000000-0005-0000-0000-0000970A0000}"/>
    <cellStyle name="Normal 2 2 3 6 5" xfId="3054" xr:uid="{00000000-0005-0000-0000-0000980A0000}"/>
    <cellStyle name="Normal 2 2 3 7" xfId="364" xr:uid="{00000000-0005-0000-0000-0000990A0000}"/>
    <cellStyle name="Normal 2 2 3 7 2" xfId="812" xr:uid="{00000000-0005-0000-0000-00009A0A0000}"/>
    <cellStyle name="Normal 2 2 3 7 2 2" xfId="1762" xr:uid="{00000000-0005-0000-0000-00009B0A0000}"/>
    <cellStyle name="Normal 2 2 3 7 2 2 2" xfId="4499" xr:uid="{00000000-0005-0000-0000-00009C0A0000}"/>
    <cellStyle name="Normal 2 2 3 7 2 3" xfId="2654" xr:uid="{00000000-0005-0000-0000-00009D0A0000}"/>
    <cellStyle name="Normal 2 2 3 7 2 3 2" xfId="5391" xr:uid="{00000000-0005-0000-0000-00009E0A0000}"/>
    <cellStyle name="Normal 2 2 3 7 2 4" xfId="3552" xr:uid="{00000000-0005-0000-0000-00009F0A0000}"/>
    <cellStyle name="Normal 2 2 3 7 3" xfId="1315" xr:uid="{00000000-0005-0000-0000-0000A00A0000}"/>
    <cellStyle name="Normal 2 2 3 7 3 2" xfId="4052" xr:uid="{00000000-0005-0000-0000-0000A10A0000}"/>
    <cellStyle name="Normal 2 2 3 7 4" xfId="2207" xr:uid="{00000000-0005-0000-0000-0000A20A0000}"/>
    <cellStyle name="Normal 2 2 3 7 4 2" xfId="4944" xr:uid="{00000000-0005-0000-0000-0000A30A0000}"/>
    <cellStyle name="Normal 2 2 3 7 5" xfId="3105" xr:uid="{00000000-0005-0000-0000-0000A40A0000}"/>
    <cellStyle name="Normal 2 2 3 8" xfId="562" xr:uid="{00000000-0005-0000-0000-0000A50A0000}"/>
    <cellStyle name="Normal 2 2 3 8 2" xfId="1513" xr:uid="{00000000-0005-0000-0000-0000A60A0000}"/>
    <cellStyle name="Normal 2 2 3 8 2 2" xfId="4250" xr:uid="{00000000-0005-0000-0000-0000A70A0000}"/>
    <cellStyle name="Normal 2 2 3 8 3" xfId="2405" xr:uid="{00000000-0005-0000-0000-0000A80A0000}"/>
    <cellStyle name="Normal 2 2 3 8 3 2" xfId="5142" xr:uid="{00000000-0005-0000-0000-0000A90A0000}"/>
    <cellStyle name="Normal 2 2 3 8 4" xfId="3303" xr:uid="{00000000-0005-0000-0000-0000AA0A0000}"/>
    <cellStyle name="Normal 2 2 3 9" xfId="1010" xr:uid="{00000000-0005-0000-0000-0000AB0A0000}"/>
    <cellStyle name="Normal 2 2 3 9 2" xfId="3750" xr:uid="{00000000-0005-0000-0000-0000AC0A0000}"/>
    <cellStyle name="Normal 2 2 4" xfId="106" xr:uid="{00000000-0005-0000-0000-0000AD0A0000}"/>
    <cellStyle name="Normal 2 2 4 10" xfId="1072" xr:uid="{00000000-0005-0000-0000-0000AE0A0000}"/>
    <cellStyle name="Normal 2 2 4 10 2" xfId="3809" xr:uid="{00000000-0005-0000-0000-0000AF0A0000}"/>
    <cellStyle name="Normal 2 2 4 11" xfId="1964" xr:uid="{00000000-0005-0000-0000-0000B00A0000}"/>
    <cellStyle name="Normal 2 2 4 11 2" xfId="4701" xr:uid="{00000000-0005-0000-0000-0000B10A0000}"/>
    <cellStyle name="Normal 2 2 4 12" xfId="2862" xr:uid="{00000000-0005-0000-0000-0000B20A0000}"/>
    <cellStyle name="Normal 2 2 4 2" xfId="123" xr:uid="{00000000-0005-0000-0000-0000B30A0000}"/>
    <cellStyle name="Normal 2 2 4 2 10" xfId="2878" xr:uid="{00000000-0005-0000-0000-0000B40A0000}"/>
    <cellStyle name="Normal 2 2 4 2 2" xfId="171" xr:uid="{00000000-0005-0000-0000-0000B50A0000}"/>
    <cellStyle name="Normal 2 2 4 2 2 2" xfId="284" xr:uid="{00000000-0005-0000-0000-0000B60A0000}"/>
    <cellStyle name="Normal 2 2 4 2 2 2 2" xfId="538" xr:uid="{00000000-0005-0000-0000-0000B70A0000}"/>
    <cellStyle name="Normal 2 2 4 2 2 2 2 2" xfId="986" xr:uid="{00000000-0005-0000-0000-0000B80A0000}"/>
    <cellStyle name="Normal 2 2 4 2 2 2 2 2 2" xfId="1936" xr:uid="{00000000-0005-0000-0000-0000B90A0000}"/>
    <cellStyle name="Normal 2 2 4 2 2 2 2 2 2 2" xfId="4673" xr:uid="{00000000-0005-0000-0000-0000BA0A0000}"/>
    <cellStyle name="Normal 2 2 4 2 2 2 2 2 3" xfId="2828" xr:uid="{00000000-0005-0000-0000-0000BB0A0000}"/>
    <cellStyle name="Normal 2 2 4 2 2 2 2 2 3 2" xfId="5565" xr:uid="{00000000-0005-0000-0000-0000BC0A0000}"/>
    <cellStyle name="Normal 2 2 4 2 2 2 2 2 4" xfId="3726" xr:uid="{00000000-0005-0000-0000-0000BD0A0000}"/>
    <cellStyle name="Normal 2 2 4 2 2 2 2 3" xfId="1489" xr:uid="{00000000-0005-0000-0000-0000BE0A0000}"/>
    <cellStyle name="Normal 2 2 4 2 2 2 2 3 2" xfId="4226" xr:uid="{00000000-0005-0000-0000-0000BF0A0000}"/>
    <cellStyle name="Normal 2 2 4 2 2 2 2 4" xfId="2381" xr:uid="{00000000-0005-0000-0000-0000C00A0000}"/>
    <cellStyle name="Normal 2 2 4 2 2 2 2 4 2" xfId="5118" xr:uid="{00000000-0005-0000-0000-0000C10A0000}"/>
    <cellStyle name="Normal 2 2 4 2 2 2 2 5" xfId="3279" xr:uid="{00000000-0005-0000-0000-0000C20A0000}"/>
    <cellStyle name="Normal 2 2 4 2 2 2 3" xfId="737" xr:uid="{00000000-0005-0000-0000-0000C30A0000}"/>
    <cellStyle name="Normal 2 2 4 2 2 2 3 2" xfId="1687" xr:uid="{00000000-0005-0000-0000-0000C40A0000}"/>
    <cellStyle name="Normal 2 2 4 2 2 2 3 2 2" xfId="4424" xr:uid="{00000000-0005-0000-0000-0000C50A0000}"/>
    <cellStyle name="Normal 2 2 4 2 2 2 3 3" xfId="2579" xr:uid="{00000000-0005-0000-0000-0000C60A0000}"/>
    <cellStyle name="Normal 2 2 4 2 2 2 3 3 2" xfId="5316" xr:uid="{00000000-0005-0000-0000-0000C70A0000}"/>
    <cellStyle name="Normal 2 2 4 2 2 2 3 4" xfId="3477" xr:uid="{00000000-0005-0000-0000-0000C80A0000}"/>
    <cellStyle name="Normal 2 2 4 2 2 2 4" xfId="1240" xr:uid="{00000000-0005-0000-0000-0000C90A0000}"/>
    <cellStyle name="Normal 2 2 4 2 2 2 4 2" xfId="3977" xr:uid="{00000000-0005-0000-0000-0000CA0A0000}"/>
    <cellStyle name="Normal 2 2 4 2 2 2 5" xfId="2132" xr:uid="{00000000-0005-0000-0000-0000CB0A0000}"/>
    <cellStyle name="Normal 2 2 4 2 2 2 5 2" xfId="4869" xr:uid="{00000000-0005-0000-0000-0000CC0A0000}"/>
    <cellStyle name="Normal 2 2 4 2 2 2 6" xfId="3030" xr:uid="{00000000-0005-0000-0000-0000CD0A0000}"/>
    <cellStyle name="Normal 2 2 4 2 2 3" xfId="427" xr:uid="{00000000-0005-0000-0000-0000CE0A0000}"/>
    <cellStyle name="Normal 2 2 4 2 2 3 2" xfId="875" xr:uid="{00000000-0005-0000-0000-0000CF0A0000}"/>
    <cellStyle name="Normal 2 2 4 2 2 3 2 2" xfId="1825" xr:uid="{00000000-0005-0000-0000-0000D00A0000}"/>
    <cellStyle name="Normal 2 2 4 2 2 3 2 2 2" xfId="4562" xr:uid="{00000000-0005-0000-0000-0000D10A0000}"/>
    <cellStyle name="Normal 2 2 4 2 2 3 2 3" xfId="2717" xr:uid="{00000000-0005-0000-0000-0000D20A0000}"/>
    <cellStyle name="Normal 2 2 4 2 2 3 2 3 2" xfId="5454" xr:uid="{00000000-0005-0000-0000-0000D30A0000}"/>
    <cellStyle name="Normal 2 2 4 2 2 3 2 4" xfId="3615" xr:uid="{00000000-0005-0000-0000-0000D40A0000}"/>
    <cellStyle name="Normal 2 2 4 2 2 3 3" xfId="1378" xr:uid="{00000000-0005-0000-0000-0000D50A0000}"/>
    <cellStyle name="Normal 2 2 4 2 2 3 3 2" xfId="4115" xr:uid="{00000000-0005-0000-0000-0000D60A0000}"/>
    <cellStyle name="Normal 2 2 4 2 2 3 4" xfId="2270" xr:uid="{00000000-0005-0000-0000-0000D70A0000}"/>
    <cellStyle name="Normal 2 2 4 2 2 3 4 2" xfId="5007" xr:uid="{00000000-0005-0000-0000-0000D80A0000}"/>
    <cellStyle name="Normal 2 2 4 2 2 3 5" xfId="3168" xr:uid="{00000000-0005-0000-0000-0000D90A0000}"/>
    <cellStyle name="Normal 2 2 4 2 2 4" xfId="636" xr:uid="{00000000-0005-0000-0000-0000DA0A0000}"/>
    <cellStyle name="Normal 2 2 4 2 2 4 2" xfId="1586" xr:uid="{00000000-0005-0000-0000-0000DB0A0000}"/>
    <cellStyle name="Normal 2 2 4 2 2 4 2 2" xfId="4323" xr:uid="{00000000-0005-0000-0000-0000DC0A0000}"/>
    <cellStyle name="Normal 2 2 4 2 2 4 3" xfId="2478" xr:uid="{00000000-0005-0000-0000-0000DD0A0000}"/>
    <cellStyle name="Normal 2 2 4 2 2 4 3 2" xfId="5215" xr:uid="{00000000-0005-0000-0000-0000DE0A0000}"/>
    <cellStyle name="Normal 2 2 4 2 2 4 4" xfId="3376" xr:uid="{00000000-0005-0000-0000-0000DF0A0000}"/>
    <cellStyle name="Normal 2 2 4 2 2 5" xfId="1129" xr:uid="{00000000-0005-0000-0000-0000E00A0000}"/>
    <cellStyle name="Normal 2 2 4 2 2 5 2" xfId="3866" xr:uid="{00000000-0005-0000-0000-0000E10A0000}"/>
    <cellStyle name="Normal 2 2 4 2 2 6" xfId="2021" xr:uid="{00000000-0005-0000-0000-0000E20A0000}"/>
    <cellStyle name="Normal 2 2 4 2 2 6 2" xfId="4758" xr:uid="{00000000-0005-0000-0000-0000E30A0000}"/>
    <cellStyle name="Normal 2 2 4 2 2 7" xfId="2919" xr:uid="{00000000-0005-0000-0000-0000E40A0000}"/>
    <cellStyle name="Normal 2 2 4 2 3" xfId="243" xr:uid="{00000000-0005-0000-0000-0000E50A0000}"/>
    <cellStyle name="Normal 2 2 4 2 3 2" xfId="497" xr:uid="{00000000-0005-0000-0000-0000E60A0000}"/>
    <cellStyle name="Normal 2 2 4 2 3 2 2" xfId="945" xr:uid="{00000000-0005-0000-0000-0000E70A0000}"/>
    <cellStyle name="Normal 2 2 4 2 3 2 2 2" xfId="1895" xr:uid="{00000000-0005-0000-0000-0000E80A0000}"/>
    <cellStyle name="Normal 2 2 4 2 3 2 2 2 2" xfId="4632" xr:uid="{00000000-0005-0000-0000-0000E90A0000}"/>
    <cellStyle name="Normal 2 2 4 2 3 2 2 3" xfId="2787" xr:uid="{00000000-0005-0000-0000-0000EA0A0000}"/>
    <cellStyle name="Normal 2 2 4 2 3 2 2 3 2" xfId="5524" xr:uid="{00000000-0005-0000-0000-0000EB0A0000}"/>
    <cellStyle name="Normal 2 2 4 2 3 2 2 4" xfId="3685" xr:uid="{00000000-0005-0000-0000-0000EC0A0000}"/>
    <cellStyle name="Normal 2 2 4 2 3 2 3" xfId="1448" xr:uid="{00000000-0005-0000-0000-0000ED0A0000}"/>
    <cellStyle name="Normal 2 2 4 2 3 2 3 2" xfId="4185" xr:uid="{00000000-0005-0000-0000-0000EE0A0000}"/>
    <cellStyle name="Normal 2 2 4 2 3 2 4" xfId="2340" xr:uid="{00000000-0005-0000-0000-0000EF0A0000}"/>
    <cellStyle name="Normal 2 2 4 2 3 2 4 2" xfId="5077" xr:uid="{00000000-0005-0000-0000-0000F00A0000}"/>
    <cellStyle name="Normal 2 2 4 2 3 2 5" xfId="3238" xr:uid="{00000000-0005-0000-0000-0000F10A0000}"/>
    <cellStyle name="Normal 2 2 4 2 3 3" xfId="696" xr:uid="{00000000-0005-0000-0000-0000F20A0000}"/>
    <cellStyle name="Normal 2 2 4 2 3 3 2" xfId="1646" xr:uid="{00000000-0005-0000-0000-0000F30A0000}"/>
    <cellStyle name="Normal 2 2 4 2 3 3 2 2" xfId="4383" xr:uid="{00000000-0005-0000-0000-0000F40A0000}"/>
    <cellStyle name="Normal 2 2 4 2 3 3 3" xfId="2538" xr:uid="{00000000-0005-0000-0000-0000F50A0000}"/>
    <cellStyle name="Normal 2 2 4 2 3 3 3 2" xfId="5275" xr:uid="{00000000-0005-0000-0000-0000F60A0000}"/>
    <cellStyle name="Normal 2 2 4 2 3 3 4" xfId="3436" xr:uid="{00000000-0005-0000-0000-0000F70A0000}"/>
    <cellStyle name="Normal 2 2 4 2 3 4" xfId="1199" xr:uid="{00000000-0005-0000-0000-0000F80A0000}"/>
    <cellStyle name="Normal 2 2 4 2 3 4 2" xfId="3936" xr:uid="{00000000-0005-0000-0000-0000F90A0000}"/>
    <cellStyle name="Normal 2 2 4 2 3 5" xfId="2091" xr:uid="{00000000-0005-0000-0000-0000FA0A0000}"/>
    <cellStyle name="Normal 2 2 4 2 3 5 2" xfId="4828" xr:uid="{00000000-0005-0000-0000-0000FB0A0000}"/>
    <cellStyle name="Normal 2 2 4 2 3 6" xfId="2989" xr:uid="{00000000-0005-0000-0000-0000FC0A0000}"/>
    <cellStyle name="Normal 2 2 4 2 4" xfId="336" xr:uid="{00000000-0005-0000-0000-0000FD0A0000}"/>
    <cellStyle name="Normal 2 2 4 2 4 2" xfId="789" xr:uid="{00000000-0005-0000-0000-0000FE0A0000}"/>
    <cellStyle name="Normal 2 2 4 2 4 2 2" xfId="1739" xr:uid="{00000000-0005-0000-0000-0000FF0A0000}"/>
    <cellStyle name="Normal 2 2 4 2 4 2 2 2" xfId="4476" xr:uid="{00000000-0005-0000-0000-0000000B0000}"/>
    <cellStyle name="Normal 2 2 4 2 4 2 3" xfId="2631" xr:uid="{00000000-0005-0000-0000-0000010B0000}"/>
    <cellStyle name="Normal 2 2 4 2 4 2 3 2" xfId="5368" xr:uid="{00000000-0005-0000-0000-0000020B0000}"/>
    <cellStyle name="Normal 2 2 4 2 4 2 4" xfId="3529" xr:uid="{00000000-0005-0000-0000-0000030B0000}"/>
    <cellStyle name="Normal 2 2 4 2 4 3" xfId="1292" xr:uid="{00000000-0005-0000-0000-0000040B0000}"/>
    <cellStyle name="Normal 2 2 4 2 4 3 2" xfId="4029" xr:uid="{00000000-0005-0000-0000-0000050B0000}"/>
    <cellStyle name="Normal 2 2 4 2 4 4" xfId="2184" xr:uid="{00000000-0005-0000-0000-0000060B0000}"/>
    <cellStyle name="Normal 2 2 4 2 4 4 2" xfId="4921" xr:uid="{00000000-0005-0000-0000-0000070B0000}"/>
    <cellStyle name="Normal 2 2 4 2 4 5" xfId="3082" xr:uid="{00000000-0005-0000-0000-0000080B0000}"/>
    <cellStyle name="Normal 2 2 4 2 5" xfId="386" xr:uid="{00000000-0005-0000-0000-0000090B0000}"/>
    <cellStyle name="Normal 2 2 4 2 5 2" xfId="834" xr:uid="{00000000-0005-0000-0000-00000A0B0000}"/>
    <cellStyle name="Normal 2 2 4 2 5 2 2" xfId="1784" xr:uid="{00000000-0005-0000-0000-00000B0B0000}"/>
    <cellStyle name="Normal 2 2 4 2 5 2 2 2" xfId="4521" xr:uid="{00000000-0005-0000-0000-00000C0B0000}"/>
    <cellStyle name="Normal 2 2 4 2 5 2 3" xfId="2676" xr:uid="{00000000-0005-0000-0000-00000D0B0000}"/>
    <cellStyle name="Normal 2 2 4 2 5 2 3 2" xfId="5413" xr:uid="{00000000-0005-0000-0000-00000E0B0000}"/>
    <cellStyle name="Normal 2 2 4 2 5 2 4" xfId="3574" xr:uid="{00000000-0005-0000-0000-00000F0B0000}"/>
    <cellStyle name="Normal 2 2 4 2 5 3" xfId="1337" xr:uid="{00000000-0005-0000-0000-0000100B0000}"/>
    <cellStyle name="Normal 2 2 4 2 5 3 2" xfId="4074" xr:uid="{00000000-0005-0000-0000-0000110B0000}"/>
    <cellStyle name="Normal 2 2 4 2 5 4" xfId="2229" xr:uid="{00000000-0005-0000-0000-0000120B0000}"/>
    <cellStyle name="Normal 2 2 4 2 5 4 2" xfId="4966" xr:uid="{00000000-0005-0000-0000-0000130B0000}"/>
    <cellStyle name="Normal 2 2 4 2 5 5" xfId="3127" xr:uid="{00000000-0005-0000-0000-0000140B0000}"/>
    <cellStyle name="Normal 2 2 4 2 6" xfId="591" xr:uid="{00000000-0005-0000-0000-0000150B0000}"/>
    <cellStyle name="Normal 2 2 4 2 6 2" xfId="1541" xr:uid="{00000000-0005-0000-0000-0000160B0000}"/>
    <cellStyle name="Normal 2 2 4 2 6 2 2" xfId="4278" xr:uid="{00000000-0005-0000-0000-0000170B0000}"/>
    <cellStyle name="Normal 2 2 4 2 6 3" xfId="2433" xr:uid="{00000000-0005-0000-0000-0000180B0000}"/>
    <cellStyle name="Normal 2 2 4 2 6 3 2" xfId="5170" xr:uid="{00000000-0005-0000-0000-0000190B0000}"/>
    <cellStyle name="Normal 2 2 4 2 6 4" xfId="3331" xr:uid="{00000000-0005-0000-0000-00001A0B0000}"/>
    <cellStyle name="Normal 2 2 4 2 7" xfId="1039" xr:uid="{00000000-0005-0000-0000-00001B0B0000}"/>
    <cellStyle name="Normal 2 2 4 2 7 2" xfId="3778" xr:uid="{00000000-0005-0000-0000-00001C0B0000}"/>
    <cellStyle name="Normal 2 2 4 2 8" xfId="1088" xr:uid="{00000000-0005-0000-0000-00001D0B0000}"/>
    <cellStyle name="Normal 2 2 4 2 8 2" xfId="3825" xr:uid="{00000000-0005-0000-0000-00001E0B0000}"/>
    <cellStyle name="Normal 2 2 4 2 9" xfId="1980" xr:uid="{00000000-0005-0000-0000-00001F0B0000}"/>
    <cellStyle name="Normal 2 2 4 2 9 2" xfId="4717" xr:uid="{00000000-0005-0000-0000-0000200B0000}"/>
    <cellStyle name="Normal 2 2 4 3" xfId="155" xr:uid="{00000000-0005-0000-0000-0000210B0000}"/>
    <cellStyle name="Normal 2 2 4 3 2" xfId="268" xr:uid="{00000000-0005-0000-0000-0000220B0000}"/>
    <cellStyle name="Normal 2 2 4 3 2 2" xfId="522" xr:uid="{00000000-0005-0000-0000-0000230B0000}"/>
    <cellStyle name="Normal 2 2 4 3 2 2 2" xfId="970" xr:uid="{00000000-0005-0000-0000-0000240B0000}"/>
    <cellStyle name="Normal 2 2 4 3 2 2 2 2" xfId="1920" xr:uid="{00000000-0005-0000-0000-0000250B0000}"/>
    <cellStyle name="Normal 2 2 4 3 2 2 2 2 2" xfId="4657" xr:uid="{00000000-0005-0000-0000-0000260B0000}"/>
    <cellStyle name="Normal 2 2 4 3 2 2 2 3" xfId="2812" xr:uid="{00000000-0005-0000-0000-0000270B0000}"/>
    <cellStyle name="Normal 2 2 4 3 2 2 2 3 2" xfId="5549" xr:uid="{00000000-0005-0000-0000-0000280B0000}"/>
    <cellStyle name="Normal 2 2 4 3 2 2 2 4" xfId="3710" xr:uid="{00000000-0005-0000-0000-0000290B0000}"/>
    <cellStyle name="Normal 2 2 4 3 2 2 3" xfId="1473" xr:uid="{00000000-0005-0000-0000-00002A0B0000}"/>
    <cellStyle name="Normal 2 2 4 3 2 2 3 2" xfId="4210" xr:uid="{00000000-0005-0000-0000-00002B0B0000}"/>
    <cellStyle name="Normal 2 2 4 3 2 2 4" xfId="2365" xr:uid="{00000000-0005-0000-0000-00002C0B0000}"/>
    <cellStyle name="Normal 2 2 4 3 2 2 4 2" xfId="5102" xr:uid="{00000000-0005-0000-0000-00002D0B0000}"/>
    <cellStyle name="Normal 2 2 4 3 2 2 5" xfId="3263" xr:uid="{00000000-0005-0000-0000-00002E0B0000}"/>
    <cellStyle name="Normal 2 2 4 3 2 3" xfId="721" xr:uid="{00000000-0005-0000-0000-00002F0B0000}"/>
    <cellStyle name="Normal 2 2 4 3 2 3 2" xfId="1671" xr:uid="{00000000-0005-0000-0000-0000300B0000}"/>
    <cellStyle name="Normal 2 2 4 3 2 3 2 2" xfId="4408" xr:uid="{00000000-0005-0000-0000-0000310B0000}"/>
    <cellStyle name="Normal 2 2 4 3 2 3 3" xfId="2563" xr:uid="{00000000-0005-0000-0000-0000320B0000}"/>
    <cellStyle name="Normal 2 2 4 3 2 3 3 2" xfId="5300" xr:uid="{00000000-0005-0000-0000-0000330B0000}"/>
    <cellStyle name="Normal 2 2 4 3 2 3 4" xfId="3461" xr:uid="{00000000-0005-0000-0000-0000340B0000}"/>
    <cellStyle name="Normal 2 2 4 3 2 4" xfId="1224" xr:uid="{00000000-0005-0000-0000-0000350B0000}"/>
    <cellStyle name="Normal 2 2 4 3 2 4 2" xfId="3961" xr:uid="{00000000-0005-0000-0000-0000360B0000}"/>
    <cellStyle name="Normal 2 2 4 3 2 5" xfId="2116" xr:uid="{00000000-0005-0000-0000-0000370B0000}"/>
    <cellStyle name="Normal 2 2 4 3 2 5 2" xfId="4853" xr:uid="{00000000-0005-0000-0000-0000380B0000}"/>
    <cellStyle name="Normal 2 2 4 3 2 6" xfId="3014" xr:uid="{00000000-0005-0000-0000-0000390B0000}"/>
    <cellStyle name="Normal 2 2 4 3 3" xfId="411" xr:uid="{00000000-0005-0000-0000-00003A0B0000}"/>
    <cellStyle name="Normal 2 2 4 3 3 2" xfId="859" xr:uid="{00000000-0005-0000-0000-00003B0B0000}"/>
    <cellStyle name="Normal 2 2 4 3 3 2 2" xfId="1809" xr:uid="{00000000-0005-0000-0000-00003C0B0000}"/>
    <cellStyle name="Normal 2 2 4 3 3 2 2 2" xfId="4546" xr:uid="{00000000-0005-0000-0000-00003D0B0000}"/>
    <cellStyle name="Normal 2 2 4 3 3 2 3" xfId="2701" xr:uid="{00000000-0005-0000-0000-00003E0B0000}"/>
    <cellStyle name="Normal 2 2 4 3 3 2 3 2" xfId="5438" xr:uid="{00000000-0005-0000-0000-00003F0B0000}"/>
    <cellStyle name="Normal 2 2 4 3 3 2 4" xfId="3599" xr:uid="{00000000-0005-0000-0000-0000400B0000}"/>
    <cellStyle name="Normal 2 2 4 3 3 3" xfId="1362" xr:uid="{00000000-0005-0000-0000-0000410B0000}"/>
    <cellStyle name="Normal 2 2 4 3 3 3 2" xfId="4099" xr:uid="{00000000-0005-0000-0000-0000420B0000}"/>
    <cellStyle name="Normal 2 2 4 3 3 4" xfId="2254" xr:uid="{00000000-0005-0000-0000-0000430B0000}"/>
    <cellStyle name="Normal 2 2 4 3 3 4 2" xfId="4991" xr:uid="{00000000-0005-0000-0000-0000440B0000}"/>
    <cellStyle name="Normal 2 2 4 3 3 5" xfId="3152" xr:uid="{00000000-0005-0000-0000-0000450B0000}"/>
    <cellStyle name="Normal 2 2 4 3 4" xfId="620" xr:uid="{00000000-0005-0000-0000-0000460B0000}"/>
    <cellStyle name="Normal 2 2 4 3 4 2" xfId="1570" xr:uid="{00000000-0005-0000-0000-0000470B0000}"/>
    <cellStyle name="Normal 2 2 4 3 4 2 2" xfId="4307" xr:uid="{00000000-0005-0000-0000-0000480B0000}"/>
    <cellStyle name="Normal 2 2 4 3 4 3" xfId="2462" xr:uid="{00000000-0005-0000-0000-0000490B0000}"/>
    <cellStyle name="Normal 2 2 4 3 4 3 2" xfId="5199" xr:uid="{00000000-0005-0000-0000-00004A0B0000}"/>
    <cellStyle name="Normal 2 2 4 3 4 4" xfId="3360" xr:uid="{00000000-0005-0000-0000-00004B0B0000}"/>
    <cellStyle name="Normal 2 2 4 3 5" xfId="1113" xr:uid="{00000000-0005-0000-0000-00004C0B0000}"/>
    <cellStyle name="Normal 2 2 4 3 5 2" xfId="3850" xr:uid="{00000000-0005-0000-0000-00004D0B0000}"/>
    <cellStyle name="Normal 2 2 4 3 6" xfId="2005" xr:uid="{00000000-0005-0000-0000-00004E0B0000}"/>
    <cellStyle name="Normal 2 2 4 3 6 2" xfId="4742" xr:uid="{00000000-0005-0000-0000-00004F0B0000}"/>
    <cellStyle name="Normal 2 2 4 3 7" xfId="2903" xr:uid="{00000000-0005-0000-0000-0000500B0000}"/>
    <cellStyle name="Normal 2 2 4 4" xfId="197" xr:uid="{00000000-0005-0000-0000-0000510B0000}"/>
    <cellStyle name="Normal 2 2 4 4 2" xfId="452" xr:uid="{00000000-0005-0000-0000-0000520B0000}"/>
    <cellStyle name="Normal 2 2 4 4 2 2" xfId="900" xr:uid="{00000000-0005-0000-0000-0000530B0000}"/>
    <cellStyle name="Normal 2 2 4 4 2 2 2" xfId="1850" xr:uid="{00000000-0005-0000-0000-0000540B0000}"/>
    <cellStyle name="Normal 2 2 4 4 2 2 2 2" xfId="4587" xr:uid="{00000000-0005-0000-0000-0000550B0000}"/>
    <cellStyle name="Normal 2 2 4 4 2 2 3" xfId="2742" xr:uid="{00000000-0005-0000-0000-0000560B0000}"/>
    <cellStyle name="Normal 2 2 4 4 2 2 3 2" xfId="5479" xr:uid="{00000000-0005-0000-0000-0000570B0000}"/>
    <cellStyle name="Normal 2 2 4 4 2 2 4" xfId="3640" xr:uid="{00000000-0005-0000-0000-0000580B0000}"/>
    <cellStyle name="Normal 2 2 4 4 2 3" xfId="1403" xr:uid="{00000000-0005-0000-0000-0000590B0000}"/>
    <cellStyle name="Normal 2 2 4 4 2 3 2" xfId="4140" xr:uid="{00000000-0005-0000-0000-00005A0B0000}"/>
    <cellStyle name="Normal 2 2 4 4 2 4" xfId="2295" xr:uid="{00000000-0005-0000-0000-00005B0B0000}"/>
    <cellStyle name="Normal 2 2 4 4 2 4 2" xfId="5032" xr:uid="{00000000-0005-0000-0000-00005C0B0000}"/>
    <cellStyle name="Normal 2 2 4 4 2 5" xfId="3193" xr:uid="{00000000-0005-0000-0000-00005D0B0000}"/>
    <cellStyle name="Normal 2 2 4 4 3" xfId="655" xr:uid="{00000000-0005-0000-0000-00005E0B0000}"/>
    <cellStyle name="Normal 2 2 4 4 3 2" xfId="1605" xr:uid="{00000000-0005-0000-0000-00005F0B0000}"/>
    <cellStyle name="Normal 2 2 4 4 3 2 2" xfId="4342" xr:uid="{00000000-0005-0000-0000-0000600B0000}"/>
    <cellStyle name="Normal 2 2 4 4 3 3" xfId="2497" xr:uid="{00000000-0005-0000-0000-0000610B0000}"/>
    <cellStyle name="Normal 2 2 4 4 3 3 2" xfId="5234" xr:uid="{00000000-0005-0000-0000-0000620B0000}"/>
    <cellStyle name="Normal 2 2 4 4 3 4" xfId="3395" xr:uid="{00000000-0005-0000-0000-0000630B0000}"/>
    <cellStyle name="Normal 2 2 4 4 4" xfId="1154" xr:uid="{00000000-0005-0000-0000-0000640B0000}"/>
    <cellStyle name="Normal 2 2 4 4 4 2" xfId="3891" xr:uid="{00000000-0005-0000-0000-0000650B0000}"/>
    <cellStyle name="Normal 2 2 4 4 5" xfId="2046" xr:uid="{00000000-0005-0000-0000-0000660B0000}"/>
    <cellStyle name="Normal 2 2 4 4 5 2" xfId="4783" xr:uid="{00000000-0005-0000-0000-0000670B0000}"/>
    <cellStyle name="Normal 2 2 4 4 6" xfId="2944" xr:uid="{00000000-0005-0000-0000-0000680B0000}"/>
    <cellStyle name="Normal 2 2 4 5" xfId="227" xr:uid="{00000000-0005-0000-0000-0000690B0000}"/>
    <cellStyle name="Normal 2 2 4 5 2" xfId="481" xr:uid="{00000000-0005-0000-0000-00006A0B0000}"/>
    <cellStyle name="Normal 2 2 4 5 2 2" xfId="929" xr:uid="{00000000-0005-0000-0000-00006B0B0000}"/>
    <cellStyle name="Normal 2 2 4 5 2 2 2" xfId="1879" xr:uid="{00000000-0005-0000-0000-00006C0B0000}"/>
    <cellStyle name="Normal 2 2 4 5 2 2 2 2" xfId="4616" xr:uid="{00000000-0005-0000-0000-00006D0B0000}"/>
    <cellStyle name="Normal 2 2 4 5 2 2 3" xfId="2771" xr:uid="{00000000-0005-0000-0000-00006E0B0000}"/>
    <cellStyle name="Normal 2 2 4 5 2 2 3 2" xfId="5508" xr:uid="{00000000-0005-0000-0000-00006F0B0000}"/>
    <cellStyle name="Normal 2 2 4 5 2 2 4" xfId="3669" xr:uid="{00000000-0005-0000-0000-0000700B0000}"/>
    <cellStyle name="Normal 2 2 4 5 2 3" xfId="1432" xr:uid="{00000000-0005-0000-0000-0000710B0000}"/>
    <cellStyle name="Normal 2 2 4 5 2 3 2" xfId="4169" xr:uid="{00000000-0005-0000-0000-0000720B0000}"/>
    <cellStyle name="Normal 2 2 4 5 2 4" xfId="2324" xr:uid="{00000000-0005-0000-0000-0000730B0000}"/>
    <cellStyle name="Normal 2 2 4 5 2 4 2" xfId="5061" xr:uid="{00000000-0005-0000-0000-0000740B0000}"/>
    <cellStyle name="Normal 2 2 4 5 2 5" xfId="3222" xr:uid="{00000000-0005-0000-0000-0000750B0000}"/>
    <cellStyle name="Normal 2 2 4 5 3" xfId="680" xr:uid="{00000000-0005-0000-0000-0000760B0000}"/>
    <cellStyle name="Normal 2 2 4 5 3 2" xfId="1630" xr:uid="{00000000-0005-0000-0000-0000770B0000}"/>
    <cellStyle name="Normal 2 2 4 5 3 2 2" xfId="4367" xr:uid="{00000000-0005-0000-0000-0000780B0000}"/>
    <cellStyle name="Normal 2 2 4 5 3 3" xfId="2522" xr:uid="{00000000-0005-0000-0000-0000790B0000}"/>
    <cellStyle name="Normal 2 2 4 5 3 3 2" xfId="5259" xr:uid="{00000000-0005-0000-0000-00007A0B0000}"/>
    <cellStyle name="Normal 2 2 4 5 3 4" xfId="3420" xr:uid="{00000000-0005-0000-0000-00007B0B0000}"/>
    <cellStyle name="Normal 2 2 4 5 4" xfId="1183" xr:uid="{00000000-0005-0000-0000-00007C0B0000}"/>
    <cellStyle name="Normal 2 2 4 5 4 2" xfId="3920" xr:uid="{00000000-0005-0000-0000-00007D0B0000}"/>
    <cellStyle name="Normal 2 2 4 5 5" xfId="2075" xr:uid="{00000000-0005-0000-0000-00007E0B0000}"/>
    <cellStyle name="Normal 2 2 4 5 5 2" xfId="4812" xr:uid="{00000000-0005-0000-0000-00007F0B0000}"/>
    <cellStyle name="Normal 2 2 4 5 6" xfId="2973" xr:uid="{00000000-0005-0000-0000-0000800B0000}"/>
    <cellStyle name="Normal 2 2 4 6" xfId="309" xr:uid="{00000000-0005-0000-0000-0000810B0000}"/>
    <cellStyle name="Normal 2 2 4 6 2" xfId="762" xr:uid="{00000000-0005-0000-0000-0000820B0000}"/>
    <cellStyle name="Normal 2 2 4 6 2 2" xfId="1712" xr:uid="{00000000-0005-0000-0000-0000830B0000}"/>
    <cellStyle name="Normal 2 2 4 6 2 2 2" xfId="4449" xr:uid="{00000000-0005-0000-0000-0000840B0000}"/>
    <cellStyle name="Normal 2 2 4 6 2 3" xfId="2604" xr:uid="{00000000-0005-0000-0000-0000850B0000}"/>
    <cellStyle name="Normal 2 2 4 6 2 3 2" xfId="5341" xr:uid="{00000000-0005-0000-0000-0000860B0000}"/>
    <cellStyle name="Normal 2 2 4 6 2 4" xfId="3502" xr:uid="{00000000-0005-0000-0000-0000870B0000}"/>
    <cellStyle name="Normal 2 2 4 6 3" xfId="1265" xr:uid="{00000000-0005-0000-0000-0000880B0000}"/>
    <cellStyle name="Normal 2 2 4 6 3 2" xfId="4002" xr:uid="{00000000-0005-0000-0000-0000890B0000}"/>
    <cellStyle name="Normal 2 2 4 6 4" xfId="2157" xr:uid="{00000000-0005-0000-0000-00008A0B0000}"/>
    <cellStyle name="Normal 2 2 4 6 4 2" xfId="4894" xr:uid="{00000000-0005-0000-0000-00008B0B0000}"/>
    <cellStyle name="Normal 2 2 4 6 5" xfId="3055" xr:uid="{00000000-0005-0000-0000-00008C0B0000}"/>
    <cellStyle name="Normal 2 2 4 7" xfId="370" xr:uid="{00000000-0005-0000-0000-00008D0B0000}"/>
    <cellStyle name="Normal 2 2 4 7 2" xfId="818" xr:uid="{00000000-0005-0000-0000-00008E0B0000}"/>
    <cellStyle name="Normal 2 2 4 7 2 2" xfId="1768" xr:uid="{00000000-0005-0000-0000-00008F0B0000}"/>
    <cellStyle name="Normal 2 2 4 7 2 2 2" xfId="4505" xr:uid="{00000000-0005-0000-0000-0000900B0000}"/>
    <cellStyle name="Normal 2 2 4 7 2 3" xfId="2660" xr:uid="{00000000-0005-0000-0000-0000910B0000}"/>
    <cellStyle name="Normal 2 2 4 7 2 3 2" xfId="5397" xr:uid="{00000000-0005-0000-0000-0000920B0000}"/>
    <cellStyle name="Normal 2 2 4 7 2 4" xfId="3558" xr:uid="{00000000-0005-0000-0000-0000930B0000}"/>
    <cellStyle name="Normal 2 2 4 7 3" xfId="1321" xr:uid="{00000000-0005-0000-0000-0000940B0000}"/>
    <cellStyle name="Normal 2 2 4 7 3 2" xfId="4058" xr:uid="{00000000-0005-0000-0000-0000950B0000}"/>
    <cellStyle name="Normal 2 2 4 7 4" xfId="2213" xr:uid="{00000000-0005-0000-0000-0000960B0000}"/>
    <cellStyle name="Normal 2 2 4 7 4 2" xfId="4950" xr:uid="{00000000-0005-0000-0000-0000970B0000}"/>
    <cellStyle name="Normal 2 2 4 7 5" xfId="3111" xr:uid="{00000000-0005-0000-0000-0000980B0000}"/>
    <cellStyle name="Normal 2 2 4 8" xfId="563" xr:uid="{00000000-0005-0000-0000-0000990B0000}"/>
    <cellStyle name="Normal 2 2 4 8 2" xfId="1514" xr:uid="{00000000-0005-0000-0000-00009A0B0000}"/>
    <cellStyle name="Normal 2 2 4 8 2 2" xfId="4251" xr:uid="{00000000-0005-0000-0000-00009B0B0000}"/>
    <cellStyle name="Normal 2 2 4 8 3" xfId="2406" xr:uid="{00000000-0005-0000-0000-00009C0B0000}"/>
    <cellStyle name="Normal 2 2 4 8 3 2" xfId="5143" xr:uid="{00000000-0005-0000-0000-00009D0B0000}"/>
    <cellStyle name="Normal 2 2 4 8 4" xfId="3304" xr:uid="{00000000-0005-0000-0000-00009E0B0000}"/>
    <cellStyle name="Normal 2 2 4 9" xfId="1011" xr:uid="{00000000-0005-0000-0000-00009F0B0000}"/>
    <cellStyle name="Normal 2 2 4 9 2" xfId="3751" xr:uid="{00000000-0005-0000-0000-0000A00B0000}"/>
    <cellStyle name="Normal 2 2 5" xfId="120" xr:uid="{00000000-0005-0000-0000-0000A10B0000}"/>
    <cellStyle name="Normal 2 2 5 10" xfId="2875" xr:uid="{00000000-0005-0000-0000-0000A20B0000}"/>
    <cellStyle name="Normal 2 2 5 2" xfId="168" xr:uid="{00000000-0005-0000-0000-0000A30B0000}"/>
    <cellStyle name="Normal 2 2 5 2 2" xfId="281" xr:uid="{00000000-0005-0000-0000-0000A40B0000}"/>
    <cellStyle name="Normal 2 2 5 2 2 2" xfId="535" xr:uid="{00000000-0005-0000-0000-0000A50B0000}"/>
    <cellStyle name="Normal 2 2 5 2 2 2 2" xfId="983" xr:uid="{00000000-0005-0000-0000-0000A60B0000}"/>
    <cellStyle name="Normal 2 2 5 2 2 2 2 2" xfId="1933" xr:uid="{00000000-0005-0000-0000-0000A70B0000}"/>
    <cellStyle name="Normal 2 2 5 2 2 2 2 2 2" xfId="4670" xr:uid="{00000000-0005-0000-0000-0000A80B0000}"/>
    <cellStyle name="Normal 2 2 5 2 2 2 2 3" xfId="2825" xr:uid="{00000000-0005-0000-0000-0000A90B0000}"/>
    <cellStyle name="Normal 2 2 5 2 2 2 2 3 2" xfId="5562" xr:uid="{00000000-0005-0000-0000-0000AA0B0000}"/>
    <cellStyle name="Normal 2 2 5 2 2 2 2 4" xfId="3723" xr:uid="{00000000-0005-0000-0000-0000AB0B0000}"/>
    <cellStyle name="Normal 2 2 5 2 2 2 3" xfId="1486" xr:uid="{00000000-0005-0000-0000-0000AC0B0000}"/>
    <cellStyle name="Normal 2 2 5 2 2 2 3 2" xfId="4223" xr:uid="{00000000-0005-0000-0000-0000AD0B0000}"/>
    <cellStyle name="Normal 2 2 5 2 2 2 4" xfId="2378" xr:uid="{00000000-0005-0000-0000-0000AE0B0000}"/>
    <cellStyle name="Normal 2 2 5 2 2 2 4 2" xfId="5115" xr:uid="{00000000-0005-0000-0000-0000AF0B0000}"/>
    <cellStyle name="Normal 2 2 5 2 2 2 5" xfId="3276" xr:uid="{00000000-0005-0000-0000-0000B00B0000}"/>
    <cellStyle name="Normal 2 2 5 2 2 3" xfId="734" xr:uid="{00000000-0005-0000-0000-0000B10B0000}"/>
    <cellStyle name="Normal 2 2 5 2 2 3 2" xfId="1684" xr:uid="{00000000-0005-0000-0000-0000B20B0000}"/>
    <cellStyle name="Normal 2 2 5 2 2 3 2 2" xfId="4421" xr:uid="{00000000-0005-0000-0000-0000B30B0000}"/>
    <cellStyle name="Normal 2 2 5 2 2 3 3" xfId="2576" xr:uid="{00000000-0005-0000-0000-0000B40B0000}"/>
    <cellStyle name="Normal 2 2 5 2 2 3 3 2" xfId="5313" xr:uid="{00000000-0005-0000-0000-0000B50B0000}"/>
    <cellStyle name="Normal 2 2 5 2 2 3 4" xfId="3474" xr:uid="{00000000-0005-0000-0000-0000B60B0000}"/>
    <cellStyle name="Normal 2 2 5 2 2 4" xfId="1237" xr:uid="{00000000-0005-0000-0000-0000B70B0000}"/>
    <cellStyle name="Normal 2 2 5 2 2 4 2" xfId="3974" xr:uid="{00000000-0005-0000-0000-0000B80B0000}"/>
    <cellStyle name="Normal 2 2 5 2 2 5" xfId="2129" xr:uid="{00000000-0005-0000-0000-0000B90B0000}"/>
    <cellStyle name="Normal 2 2 5 2 2 5 2" xfId="4866" xr:uid="{00000000-0005-0000-0000-0000BA0B0000}"/>
    <cellStyle name="Normal 2 2 5 2 2 6" xfId="3027" xr:uid="{00000000-0005-0000-0000-0000BB0B0000}"/>
    <cellStyle name="Normal 2 2 5 2 3" xfId="424" xr:uid="{00000000-0005-0000-0000-0000BC0B0000}"/>
    <cellStyle name="Normal 2 2 5 2 3 2" xfId="872" xr:uid="{00000000-0005-0000-0000-0000BD0B0000}"/>
    <cellStyle name="Normal 2 2 5 2 3 2 2" xfId="1822" xr:uid="{00000000-0005-0000-0000-0000BE0B0000}"/>
    <cellStyle name="Normal 2 2 5 2 3 2 2 2" xfId="4559" xr:uid="{00000000-0005-0000-0000-0000BF0B0000}"/>
    <cellStyle name="Normal 2 2 5 2 3 2 3" xfId="2714" xr:uid="{00000000-0005-0000-0000-0000C00B0000}"/>
    <cellStyle name="Normal 2 2 5 2 3 2 3 2" xfId="5451" xr:uid="{00000000-0005-0000-0000-0000C10B0000}"/>
    <cellStyle name="Normal 2 2 5 2 3 2 4" xfId="3612" xr:uid="{00000000-0005-0000-0000-0000C20B0000}"/>
    <cellStyle name="Normal 2 2 5 2 3 3" xfId="1375" xr:uid="{00000000-0005-0000-0000-0000C30B0000}"/>
    <cellStyle name="Normal 2 2 5 2 3 3 2" xfId="4112" xr:uid="{00000000-0005-0000-0000-0000C40B0000}"/>
    <cellStyle name="Normal 2 2 5 2 3 4" xfId="2267" xr:uid="{00000000-0005-0000-0000-0000C50B0000}"/>
    <cellStyle name="Normal 2 2 5 2 3 4 2" xfId="5004" xr:uid="{00000000-0005-0000-0000-0000C60B0000}"/>
    <cellStyle name="Normal 2 2 5 2 3 5" xfId="3165" xr:uid="{00000000-0005-0000-0000-0000C70B0000}"/>
    <cellStyle name="Normal 2 2 5 2 4" xfId="633" xr:uid="{00000000-0005-0000-0000-0000C80B0000}"/>
    <cellStyle name="Normal 2 2 5 2 4 2" xfId="1583" xr:uid="{00000000-0005-0000-0000-0000C90B0000}"/>
    <cellStyle name="Normal 2 2 5 2 4 2 2" xfId="4320" xr:uid="{00000000-0005-0000-0000-0000CA0B0000}"/>
    <cellStyle name="Normal 2 2 5 2 4 3" xfId="2475" xr:uid="{00000000-0005-0000-0000-0000CB0B0000}"/>
    <cellStyle name="Normal 2 2 5 2 4 3 2" xfId="5212" xr:uid="{00000000-0005-0000-0000-0000CC0B0000}"/>
    <cellStyle name="Normal 2 2 5 2 4 4" xfId="3373" xr:uid="{00000000-0005-0000-0000-0000CD0B0000}"/>
    <cellStyle name="Normal 2 2 5 2 5" xfId="1126" xr:uid="{00000000-0005-0000-0000-0000CE0B0000}"/>
    <cellStyle name="Normal 2 2 5 2 5 2" xfId="3863" xr:uid="{00000000-0005-0000-0000-0000CF0B0000}"/>
    <cellStyle name="Normal 2 2 5 2 6" xfId="2018" xr:uid="{00000000-0005-0000-0000-0000D00B0000}"/>
    <cellStyle name="Normal 2 2 5 2 6 2" xfId="4755" xr:uid="{00000000-0005-0000-0000-0000D10B0000}"/>
    <cellStyle name="Normal 2 2 5 2 7" xfId="2916" xr:uid="{00000000-0005-0000-0000-0000D20B0000}"/>
    <cellStyle name="Normal 2 2 5 3" xfId="240" xr:uid="{00000000-0005-0000-0000-0000D30B0000}"/>
    <cellStyle name="Normal 2 2 5 3 2" xfId="494" xr:uid="{00000000-0005-0000-0000-0000D40B0000}"/>
    <cellStyle name="Normal 2 2 5 3 2 2" xfId="942" xr:uid="{00000000-0005-0000-0000-0000D50B0000}"/>
    <cellStyle name="Normal 2 2 5 3 2 2 2" xfId="1892" xr:uid="{00000000-0005-0000-0000-0000D60B0000}"/>
    <cellStyle name="Normal 2 2 5 3 2 2 2 2" xfId="4629" xr:uid="{00000000-0005-0000-0000-0000D70B0000}"/>
    <cellStyle name="Normal 2 2 5 3 2 2 3" xfId="2784" xr:uid="{00000000-0005-0000-0000-0000D80B0000}"/>
    <cellStyle name="Normal 2 2 5 3 2 2 3 2" xfId="5521" xr:uid="{00000000-0005-0000-0000-0000D90B0000}"/>
    <cellStyle name="Normal 2 2 5 3 2 2 4" xfId="3682" xr:uid="{00000000-0005-0000-0000-0000DA0B0000}"/>
    <cellStyle name="Normal 2 2 5 3 2 3" xfId="1445" xr:uid="{00000000-0005-0000-0000-0000DB0B0000}"/>
    <cellStyle name="Normal 2 2 5 3 2 3 2" xfId="4182" xr:uid="{00000000-0005-0000-0000-0000DC0B0000}"/>
    <cellStyle name="Normal 2 2 5 3 2 4" xfId="2337" xr:uid="{00000000-0005-0000-0000-0000DD0B0000}"/>
    <cellStyle name="Normal 2 2 5 3 2 4 2" xfId="5074" xr:uid="{00000000-0005-0000-0000-0000DE0B0000}"/>
    <cellStyle name="Normal 2 2 5 3 2 5" xfId="3235" xr:uid="{00000000-0005-0000-0000-0000DF0B0000}"/>
    <cellStyle name="Normal 2 2 5 3 3" xfId="693" xr:uid="{00000000-0005-0000-0000-0000E00B0000}"/>
    <cellStyle name="Normal 2 2 5 3 3 2" xfId="1643" xr:uid="{00000000-0005-0000-0000-0000E10B0000}"/>
    <cellStyle name="Normal 2 2 5 3 3 2 2" xfId="4380" xr:uid="{00000000-0005-0000-0000-0000E20B0000}"/>
    <cellStyle name="Normal 2 2 5 3 3 3" xfId="2535" xr:uid="{00000000-0005-0000-0000-0000E30B0000}"/>
    <cellStyle name="Normal 2 2 5 3 3 3 2" xfId="5272" xr:uid="{00000000-0005-0000-0000-0000E40B0000}"/>
    <cellStyle name="Normal 2 2 5 3 3 4" xfId="3433" xr:uid="{00000000-0005-0000-0000-0000E50B0000}"/>
    <cellStyle name="Normal 2 2 5 3 4" xfId="1196" xr:uid="{00000000-0005-0000-0000-0000E60B0000}"/>
    <cellStyle name="Normal 2 2 5 3 4 2" xfId="3933" xr:uid="{00000000-0005-0000-0000-0000E70B0000}"/>
    <cellStyle name="Normal 2 2 5 3 5" xfId="2088" xr:uid="{00000000-0005-0000-0000-0000E80B0000}"/>
    <cellStyle name="Normal 2 2 5 3 5 2" xfId="4825" xr:uid="{00000000-0005-0000-0000-0000E90B0000}"/>
    <cellStyle name="Normal 2 2 5 3 6" xfId="2986" xr:uid="{00000000-0005-0000-0000-0000EA0B0000}"/>
    <cellStyle name="Normal 2 2 5 4" xfId="333" xr:uid="{00000000-0005-0000-0000-0000EB0B0000}"/>
    <cellStyle name="Normal 2 2 5 4 2" xfId="786" xr:uid="{00000000-0005-0000-0000-0000EC0B0000}"/>
    <cellStyle name="Normal 2 2 5 4 2 2" xfId="1736" xr:uid="{00000000-0005-0000-0000-0000ED0B0000}"/>
    <cellStyle name="Normal 2 2 5 4 2 2 2" xfId="4473" xr:uid="{00000000-0005-0000-0000-0000EE0B0000}"/>
    <cellStyle name="Normal 2 2 5 4 2 3" xfId="2628" xr:uid="{00000000-0005-0000-0000-0000EF0B0000}"/>
    <cellStyle name="Normal 2 2 5 4 2 3 2" xfId="5365" xr:uid="{00000000-0005-0000-0000-0000F00B0000}"/>
    <cellStyle name="Normal 2 2 5 4 2 4" xfId="3526" xr:uid="{00000000-0005-0000-0000-0000F10B0000}"/>
    <cellStyle name="Normal 2 2 5 4 3" xfId="1289" xr:uid="{00000000-0005-0000-0000-0000F20B0000}"/>
    <cellStyle name="Normal 2 2 5 4 3 2" xfId="4026" xr:uid="{00000000-0005-0000-0000-0000F30B0000}"/>
    <cellStyle name="Normal 2 2 5 4 4" xfId="2181" xr:uid="{00000000-0005-0000-0000-0000F40B0000}"/>
    <cellStyle name="Normal 2 2 5 4 4 2" xfId="4918" xr:uid="{00000000-0005-0000-0000-0000F50B0000}"/>
    <cellStyle name="Normal 2 2 5 4 5" xfId="3079" xr:uid="{00000000-0005-0000-0000-0000F60B0000}"/>
    <cellStyle name="Normal 2 2 5 5" xfId="383" xr:uid="{00000000-0005-0000-0000-0000F70B0000}"/>
    <cellStyle name="Normal 2 2 5 5 2" xfId="831" xr:uid="{00000000-0005-0000-0000-0000F80B0000}"/>
    <cellStyle name="Normal 2 2 5 5 2 2" xfId="1781" xr:uid="{00000000-0005-0000-0000-0000F90B0000}"/>
    <cellStyle name="Normal 2 2 5 5 2 2 2" xfId="4518" xr:uid="{00000000-0005-0000-0000-0000FA0B0000}"/>
    <cellStyle name="Normal 2 2 5 5 2 3" xfId="2673" xr:uid="{00000000-0005-0000-0000-0000FB0B0000}"/>
    <cellStyle name="Normal 2 2 5 5 2 3 2" xfId="5410" xr:uid="{00000000-0005-0000-0000-0000FC0B0000}"/>
    <cellStyle name="Normal 2 2 5 5 2 4" xfId="3571" xr:uid="{00000000-0005-0000-0000-0000FD0B0000}"/>
    <cellStyle name="Normal 2 2 5 5 3" xfId="1334" xr:uid="{00000000-0005-0000-0000-0000FE0B0000}"/>
    <cellStyle name="Normal 2 2 5 5 3 2" xfId="4071" xr:uid="{00000000-0005-0000-0000-0000FF0B0000}"/>
    <cellStyle name="Normal 2 2 5 5 4" xfId="2226" xr:uid="{00000000-0005-0000-0000-0000000C0000}"/>
    <cellStyle name="Normal 2 2 5 5 4 2" xfId="4963" xr:uid="{00000000-0005-0000-0000-0000010C0000}"/>
    <cellStyle name="Normal 2 2 5 5 5" xfId="3124" xr:uid="{00000000-0005-0000-0000-0000020C0000}"/>
    <cellStyle name="Normal 2 2 5 6" xfId="588" xr:uid="{00000000-0005-0000-0000-0000030C0000}"/>
    <cellStyle name="Normal 2 2 5 6 2" xfId="1538" xr:uid="{00000000-0005-0000-0000-0000040C0000}"/>
    <cellStyle name="Normal 2 2 5 6 2 2" xfId="4275" xr:uid="{00000000-0005-0000-0000-0000050C0000}"/>
    <cellStyle name="Normal 2 2 5 6 3" xfId="2430" xr:uid="{00000000-0005-0000-0000-0000060C0000}"/>
    <cellStyle name="Normal 2 2 5 6 3 2" xfId="5167" xr:uid="{00000000-0005-0000-0000-0000070C0000}"/>
    <cellStyle name="Normal 2 2 5 6 4" xfId="3328" xr:uid="{00000000-0005-0000-0000-0000080C0000}"/>
    <cellStyle name="Normal 2 2 5 7" xfId="1036" xr:uid="{00000000-0005-0000-0000-0000090C0000}"/>
    <cellStyle name="Normal 2 2 5 7 2" xfId="3775" xr:uid="{00000000-0005-0000-0000-00000A0C0000}"/>
    <cellStyle name="Normal 2 2 5 8" xfId="1085" xr:uid="{00000000-0005-0000-0000-00000B0C0000}"/>
    <cellStyle name="Normal 2 2 5 8 2" xfId="3822" xr:uid="{00000000-0005-0000-0000-00000C0C0000}"/>
    <cellStyle name="Normal 2 2 5 9" xfId="1977" xr:uid="{00000000-0005-0000-0000-00000D0C0000}"/>
    <cellStyle name="Normal 2 2 5 9 2" xfId="4714" xr:uid="{00000000-0005-0000-0000-00000E0C0000}"/>
    <cellStyle name="Normal 2 2 6" xfId="143" xr:uid="{00000000-0005-0000-0000-00000F0C0000}"/>
    <cellStyle name="Normal 2 2 6 2" xfId="256" xr:uid="{00000000-0005-0000-0000-0000100C0000}"/>
    <cellStyle name="Normal 2 2 6 2 2" xfId="510" xr:uid="{00000000-0005-0000-0000-0000110C0000}"/>
    <cellStyle name="Normal 2 2 6 2 2 2" xfId="958" xr:uid="{00000000-0005-0000-0000-0000120C0000}"/>
    <cellStyle name="Normal 2 2 6 2 2 2 2" xfId="1908" xr:uid="{00000000-0005-0000-0000-0000130C0000}"/>
    <cellStyle name="Normal 2 2 6 2 2 2 2 2" xfId="4645" xr:uid="{00000000-0005-0000-0000-0000140C0000}"/>
    <cellStyle name="Normal 2 2 6 2 2 2 3" xfId="2800" xr:uid="{00000000-0005-0000-0000-0000150C0000}"/>
    <cellStyle name="Normal 2 2 6 2 2 2 3 2" xfId="5537" xr:uid="{00000000-0005-0000-0000-0000160C0000}"/>
    <cellStyle name="Normal 2 2 6 2 2 2 4" xfId="3698" xr:uid="{00000000-0005-0000-0000-0000170C0000}"/>
    <cellStyle name="Normal 2 2 6 2 2 3" xfId="1461" xr:uid="{00000000-0005-0000-0000-0000180C0000}"/>
    <cellStyle name="Normal 2 2 6 2 2 3 2" xfId="4198" xr:uid="{00000000-0005-0000-0000-0000190C0000}"/>
    <cellStyle name="Normal 2 2 6 2 2 4" xfId="2353" xr:uid="{00000000-0005-0000-0000-00001A0C0000}"/>
    <cellStyle name="Normal 2 2 6 2 2 4 2" xfId="5090" xr:uid="{00000000-0005-0000-0000-00001B0C0000}"/>
    <cellStyle name="Normal 2 2 6 2 2 5" xfId="3251" xr:uid="{00000000-0005-0000-0000-00001C0C0000}"/>
    <cellStyle name="Normal 2 2 6 2 3" xfId="709" xr:uid="{00000000-0005-0000-0000-00001D0C0000}"/>
    <cellStyle name="Normal 2 2 6 2 3 2" xfId="1659" xr:uid="{00000000-0005-0000-0000-00001E0C0000}"/>
    <cellStyle name="Normal 2 2 6 2 3 2 2" xfId="4396" xr:uid="{00000000-0005-0000-0000-00001F0C0000}"/>
    <cellStyle name="Normal 2 2 6 2 3 3" xfId="2551" xr:uid="{00000000-0005-0000-0000-0000200C0000}"/>
    <cellStyle name="Normal 2 2 6 2 3 3 2" xfId="5288" xr:uid="{00000000-0005-0000-0000-0000210C0000}"/>
    <cellStyle name="Normal 2 2 6 2 3 4" xfId="3449" xr:uid="{00000000-0005-0000-0000-0000220C0000}"/>
    <cellStyle name="Normal 2 2 6 2 4" xfId="1212" xr:uid="{00000000-0005-0000-0000-0000230C0000}"/>
    <cellStyle name="Normal 2 2 6 2 4 2" xfId="3949" xr:uid="{00000000-0005-0000-0000-0000240C0000}"/>
    <cellStyle name="Normal 2 2 6 2 5" xfId="2104" xr:uid="{00000000-0005-0000-0000-0000250C0000}"/>
    <cellStyle name="Normal 2 2 6 2 5 2" xfId="4841" xr:uid="{00000000-0005-0000-0000-0000260C0000}"/>
    <cellStyle name="Normal 2 2 6 2 6" xfId="3002" xr:uid="{00000000-0005-0000-0000-0000270C0000}"/>
    <cellStyle name="Normal 2 2 6 3" xfId="399" xr:uid="{00000000-0005-0000-0000-0000280C0000}"/>
    <cellStyle name="Normal 2 2 6 3 2" xfId="847" xr:uid="{00000000-0005-0000-0000-0000290C0000}"/>
    <cellStyle name="Normal 2 2 6 3 2 2" xfId="1797" xr:uid="{00000000-0005-0000-0000-00002A0C0000}"/>
    <cellStyle name="Normal 2 2 6 3 2 2 2" xfId="4534" xr:uid="{00000000-0005-0000-0000-00002B0C0000}"/>
    <cellStyle name="Normal 2 2 6 3 2 3" xfId="2689" xr:uid="{00000000-0005-0000-0000-00002C0C0000}"/>
    <cellStyle name="Normal 2 2 6 3 2 3 2" xfId="5426" xr:uid="{00000000-0005-0000-0000-00002D0C0000}"/>
    <cellStyle name="Normal 2 2 6 3 2 4" xfId="3587" xr:uid="{00000000-0005-0000-0000-00002E0C0000}"/>
    <cellStyle name="Normal 2 2 6 3 3" xfId="1350" xr:uid="{00000000-0005-0000-0000-00002F0C0000}"/>
    <cellStyle name="Normal 2 2 6 3 3 2" xfId="4087" xr:uid="{00000000-0005-0000-0000-0000300C0000}"/>
    <cellStyle name="Normal 2 2 6 3 4" xfId="2242" xr:uid="{00000000-0005-0000-0000-0000310C0000}"/>
    <cellStyle name="Normal 2 2 6 3 4 2" xfId="4979" xr:uid="{00000000-0005-0000-0000-0000320C0000}"/>
    <cellStyle name="Normal 2 2 6 3 5" xfId="3140" xr:uid="{00000000-0005-0000-0000-0000330C0000}"/>
    <cellStyle name="Normal 2 2 6 4" xfId="608" xr:uid="{00000000-0005-0000-0000-0000340C0000}"/>
    <cellStyle name="Normal 2 2 6 4 2" xfId="1558" xr:uid="{00000000-0005-0000-0000-0000350C0000}"/>
    <cellStyle name="Normal 2 2 6 4 2 2" xfId="4295" xr:uid="{00000000-0005-0000-0000-0000360C0000}"/>
    <cellStyle name="Normal 2 2 6 4 3" xfId="2450" xr:uid="{00000000-0005-0000-0000-0000370C0000}"/>
    <cellStyle name="Normal 2 2 6 4 3 2" xfId="5187" xr:uid="{00000000-0005-0000-0000-0000380C0000}"/>
    <cellStyle name="Normal 2 2 6 4 4" xfId="3348" xr:uid="{00000000-0005-0000-0000-0000390C0000}"/>
    <cellStyle name="Normal 2 2 6 5" xfId="1101" xr:uid="{00000000-0005-0000-0000-00003A0C0000}"/>
    <cellStyle name="Normal 2 2 6 5 2" xfId="3838" xr:uid="{00000000-0005-0000-0000-00003B0C0000}"/>
    <cellStyle name="Normal 2 2 6 6" xfId="1993" xr:uid="{00000000-0005-0000-0000-00003C0C0000}"/>
    <cellStyle name="Normal 2 2 6 6 2" xfId="4730" xr:uid="{00000000-0005-0000-0000-00003D0C0000}"/>
    <cellStyle name="Normal 2 2 6 7" xfId="2891" xr:uid="{00000000-0005-0000-0000-00003E0C0000}"/>
    <cellStyle name="Normal 2 2 7" xfId="194" xr:uid="{00000000-0005-0000-0000-00003F0C0000}"/>
    <cellStyle name="Normal 2 2 7 2" xfId="449" xr:uid="{00000000-0005-0000-0000-0000400C0000}"/>
    <cellStyle name="Normal 2 2 7 2 2" xfId="897" xr:uid="{00000000-0005-0000-0000-0000410C0000}"/>
    <cellStyle name="Normal 2 2 7 2 2 2" xfId="1847" xr:uid="{00000000-0005-0000-0000-0000420C0000}"/>
    <cellStyle name="Normal 2 2 7 2 2 2 2" xfId="4584" xr:uid="{00000000-0005-0000-0000-0000430C0000}"/>
    <cellStyle name="Normal 2 2 7 2 2 3" xfId="2739" xr:uid="{00000000-0005-0000-0000-0000440C0000}"/>
    <cellStyle name="Normal 2 2 7 2 2 3 2" xfId="5476" xr:uid="{00000000-0005-0000-0000-0000450C0000}"/>
    <cellStyle name="Normal 2 2 7 2 2 4" xfId="3637" xr:uid="{00000000-0005-0000-0000-0000460C0000}"/>
    <cellStyle name="Normal 2 2 7 2 3" xfId="1400" xr:uid="{00000000-0005-0000-0000-0000470C0000}"/>
    <cellStyle name="Normal 2 2 7 2 3 2" xfId="4137" xr:uid="{00000000-0005-0000-0000-0000480C0000}"/>
    <cellStyle name="Normal 2 2 7 2 4" xfId="2292" xr:uid="{00000000-0005-0000-0000-0000490C0000}"/>
    <cellStyle name="Normal 2 2 7 2 4 2" xfId="5029" xr:uid="{00000000-0005-0000-0000-00004A0C0000}"/>
    <cellStyle name="Normal 2 2 7 2 5" xfId="3190" xr:uid="{00000000-0005-0000-0000-00004B0C0000}"/>
    <cellStyle name="Normal 2 2 7 3" xfId="652" xr:uid="{00000000-0005-0000-0000-00004C0C0000}"/>
    <cellStyle name="Normal 2 2 7 3 2" xfId="1602" xr:uid="{00000000-0005-0000-0000-00004D0C0000}"/>
    <cellStyle name="Normal 2 2 7 3 2 2" xfId="4339" xr:uid="{00000000-0005-0000-0000-00004E0C0000}"/>
    <cellStyle name="Normal 2 2 7 3 3" xfId="2494" xr:uid="{00000000-0005-0000-0000-00004F0C0000}"/>
    <cellStyle name="Normal 2 2 7 3 3 2" xfId="5231" xr:uid="{00000000-0005-0000-0000-0000500C0000}"/>
    <cellStyle name="Normal 2 2 7 3 4" xfId="3392" xr:uid="{00000000-0005-0000-0000-0000510C0000}"/>
    <cellStyle name="Normal 2 2 7 4" xfId="1151" xr:uid="{00000000-0005-0000-0000-0000520C0000}"/>
    <cellStyle name="Normal 2 2 7 4 2" xfId="3888" xr:uid="{00000000-0005-0000-0000-0000530C0000}"/>
    <cellStyle name="Normal 2 2 7 5" xfId="2043" xr:uid="{00000000-0005-0000-0000-0000540C0000}"/>
    <cellStyle name="Normal 2 2 7 5 2" xfId="4780" xr:uid="{00000000-0005-0000-0000-0000550C0000}"/>
    <cellStyle name="Normal 2 2 7 6" xfId="2941" xr:uid="{00000000-0005-0000-0000-0000560C0000}"/>
    <cellStyle name="Normal 2 2 8" xfId="215" xr:uid="{00000000-0005-0000-0000-0000570C0000}"/>
    <cellStyle name="Normal 2 2 8 2" xfId="469" xr:uid="{00000000-0005-0000-0000-0000580C0000}"/>
    <cellStyle name="Normal 2 2 8 2 2" xfId="917" xr:uid="{00000000-0005-0000-0000-0000590C0000}"/>
    <cellStyle name="Normal 2 2 8 2 2 2" xfId="1867" xr:uid="{00000000-0005-0000-0000-00005A0C0000}"/>
    <cellStyle name="Normal 2 2 8 2 2 2 2" xfId="4604" xr:uid="{00000000-0005-0000-0000-00005B0C0000}"/>
    <cellStyle name="Normal 2 2 8 2 2 3" xfId="2759" xr:uid="{00000000-0005-0000-0000-00005C0C0000}"/>
    <cellStyle name="Normal 2 2 8 2 2 3 2" xfId="5496" xr:uid="{00000000-0005-0000-0000-00005D0C0000}"/>
    <cellStyle name="Normal 2 2 8 2 2 4" xfId="3657" xr:uid="{00000000-0005-0000-0000-00005E0C0000}"/>
    <cellStyle name="Normal 2 2 8 2 3" xfId="1420" xr:uid="{00000000-0005-0000-0000-00005F0C0000}"/>
    <cellStyle name="Normal 2 2 8 2 3 2" xfId="4157" xr:uid="{00000000-0005-0000-0000-0000600C0000}"/>
    <cellStyle name="Normal 2 2 8 2 4" xfId="2312" xr:uid="{00000000-0005-0000-0000-0000610C0000}"/>
    <cellStyle name="Normal 2 2 8 2 4 2" xfId="5049" xr:uid="{00000000-0005-0000-0000-0000620C0000}"/>
    <cellStyle name="Normal 2 2 8 2 5" xfId="3210" xr:uid="{00000000-0005-0000-0000-0000630C0000}"/>
    <cellStyle name="Normal 2 2 8 3" xfId="668" xr:uid="{00000000-0005-0000-0000-0000640C0000}"/>
    <cellStyle name="Normal 2 2 8 3 2" xfId="1618" xr:uid="{00000000-0005-0000-0000-0000650C0000}"/>
    <cellStyle name="Normal 2 2 8 3 2 2" xfId="4355" xr:uid="{00000000-0005-0000-0000-0000660C0000}"/>
    <cellStyle name="Normal 2 2 8 3 3" xfId="2510" xr:uid="{00000000-0005-0000-0000-0000670C0000}"/>
    <cellStyle name="Normal 2 2 8 3 3 2" xfId="5247" xr:uid="{00000000-0005-0000-0000-0000680C0000}"/>
    <cellStyle name="Normal 2 2 8 3 4" xfId="3408" xr:uid="{00000000-0005-0000-0000-0000690C0000}"/>
    <cellStyle name="Normal 2 2 8 4" xfId="1171" xr:uid="{00000000-0005-0000-0000-00006A0C0000}"/>
    <cellStyle name="Normal 2 2 8 4 2" xfId="3908" xr:uid="{00000000-0005-0000-0000-00006B0C0000}"/>
    <cellStyle name="Normal 2 2 8 5" xfId="2063" xr:uid="{00000000-0005-0000-0000-00006C0C0000}"/>
    <cellStyle name="Normal 2 2 8 5 2" xfId="4800" xr:uid="{00000000-0005-0000-0000-00006D0C0000}"/>
    <cellStyle name="Normal 2 2 8 6" xfId="2961" xr:uid="{00000000-0005-0000-0000-00006E0C0000}"/>
    <cellStyle name="Normal 2 2 9" xfId="306" xr:uid="{00000000-0005-0000-0000-00006F0C0000}"/>
    <cellStyle name="Normal 2 2 9 2" xfId="759" xr:uid="{00000000-0005-0000-0000-0000700C0000}"/>
    <cellStyle name="Normal 2 2 9 2 2" xfId="1709" xr:uid="{00000000-0005-0000-0000-0000710C0000}"/>
    <cellStyle name="Normal 2 2 9 2 2 2" xfId="4446" xr:uid="{00000000-0005-0000-0000-0000720C0000}"/>
    <cellStyle name="Normal 2 2 9 2 3" xfId="2601" xr:uid="{00000000-0005-0000-0000-0000730C0000}"/>
    <cellStyle name="Normal 2 2 9 2 3 2" xfId="5338" xr:uid="{00000000-0005-0000-0000-0000740C0000}"/>
    <cellStyle name="Normal 2 2 9 2 4" xfId="3499" xr:uid="{00000000-0005-0000-0000-0000750C0000}"/>
    <cellStyle name="Normal 2 2 9 3" xfId="1262" xr:uid="{00000000-0005-0000-0000-0000760C0000}"/>
    <cellStyle name="Normal 2 2 9 3 2" xfId="3999" xr:uid="{00000000-0005-0000-0000-0000770C0000}"/>
    <cellStyle name="Normal 2 2 9 4" xfId="2154" xr:uid="{00000000-0005-0000-0000-0000780C0000}"/>
    <cellStyle name="Normal 2 2 9 4 2" xfId="4891" xr:uid="{00000000-0005-0000-0000-0000790C0000}"/>
    <cellStyle name="Normal 2 2 9 5" xfId="3052" xr:uid="{00000000-0005-0000-0000-00007A0C0000}"/>
    <cellStyle name="Normal 2 20" xfId="301" xr:uid="{00000000-0005-0000-0000-00007B0C0000}"/>
    <cellStyle name="Normal 2 20 2" xfId="754" xr:uid="{00000000-0005-0000-0000-00007C0C0000}"/>
    <cellStyle name="Normal 2 20 2 2" xfId="1704" xr:uid="{00000000-0005-0000-0000-00007D0C0000}"/>
    <cellStyle name="Normal 2 20 2 2 2" xfId="4441" xr:uid="{00000000-0005-0000-0000-00007E0C0000}"/>
    <cellStyle name="Normal 2 20 2 3" xfId="2596" xr:uid="{00000000-0005-0000-0000-00007F0C0000}"/>
    <cellStyle name="Normal 2 20 2 3 2" xfId="5333" xr:uid="{00000000-0005-0000-0000-0000800C0000}"/>
    <cellStyle name="Normal 2 20 2 4" xfId="3494" xr:uid="{00000000-0005-0000-0000-0000810C0000}"/>
    <cellStyle name="Normal 2 20 3" xfId="1257" xr:uid="{00000000-0005-0000-0000-0000820C0000}"/>
    <cellStyle name="Normal 2 20 3 2" xfId="3994" xr:uid="{00000000-0005-0000-0000-0000830C0000}"/>
    <cellStyle name="Normal 2 20 4" xfId="2149" xr:uid="{00000000-0005-0000-0000-0000840C0000}"/>
    <cellStyle name="Normal 2 20 4 2" xfId="4886" xr:uid="{00000000-0005-0000-0000-0000850C0000}"/>
    <cellStyle name="Normal 2 20 5" xfId="3047" xr:uid="{00000000-0005-0000-0000-0000860C0000}"/>
    <cellStyle name="Normal 2 21" xfId="355" xr:uid="{00000000-0005-0000-0000-0000870C0000}"/>
    <cellStyle name="Normal 2 21 2" xfId="803" xr:uid="{00000000-0005-0000-0000-0000880C0000}"/>
    <cellStyle name="Normal 2 21 2 2" xfId="1753" xr:uid="{00000000-0005-0000-0000-0000890C0000}"/>
    <cellStyle name="Normal 2 21 2 2 2" xfId="4490" xr:uid="{00000000-0005-0000-0000-00008A0C0000}"/>
    <cellStyle name="Normal 2 21 2 3" xfId="2645" xr:uid="{00000000-0005-0000-0000-00008B0C0000}"/>
    <cellStyle name="Normal 2 21 2 3 2" xfId="5382" xr:uid="{00000000-0005-0000-0000-00008C0C0000}"/>
    <cellStyle name="Normal 2 21 2 4" xfId="3543" xr:uid="{00000000-0005-0000-0000-00008D0C0000}"/>
    <cellStyle name="Normal 2 21 3" xfId="1306" xr:uid="{00000000-0005-0000-0000-00008E0C0000}"/>
    <cellStyle name="Normal 2 21 3 2" xfId="4043" xr:uid="{00000000-0005-0000-0000-00008F0C0000}"/>
    <cellStyle name="Normal 2 21 4" xfId="2198" xr:uid="{00000000-0005-0000-0000-0000900C0000}"/>
    <cellStyle name="Normal 2 21 4 2" xfId="4935" xr:uid="{00000000-0005-0000-0000-0000910C0000}"/>
    <cellStyle name="Normal 2 21 5" xfId="3096" xr:uid="{00000000-0005-0000-0000-0000920C0000}"/>
    <cellStyle name="Normal 2 22" xfId="555" xr:uid="{00000000-0005-0000-0000-0000930C0000}"/>
    <cellStyle name="Normal 2 22 2" xfId="1506" xr:uid="{00000000-0005-0000-0000-0000940C0000}"/>
    <cellStyle name="Normal 2 22 2 2" xfId="4243" xr:uid="{00000000-0005-0000-0000-0000950C0000}"/>
    <cellStyle name="Normal 2 22 3" xfId="2398" xr:uid="{00000000-0005-0000-0000-0000960C0000}"/>
    <cellStyle name="Normal 2 22 3 2" xfId="5135" xr:uid="{00000000-0005-0000-0000-0000970C0000}"/>
    <cellStyle name="Normal 2 22 4" xfId="3296" xr:uid="{00000000-0005-0000-0000-0000980C0000}"/>
    <cellStyle name="Normal 2 23" xfId="1003" xr:uid="{00000000-0005-0000-0000-0000990C0000}"/>
    <cellStyle name="Normal 2 23 2" xfId="3743" xr:uid="{00000000-0005-0000-0000-00009A0C0000}"/>
    <cellStyle name="Normal 2 24" xfId="1057" xr:uid="{00000000-0005-0000-0000-00009B0C0000}"/>
    <cellStyle name="Normal 2 24 2" xfId="3794" xr:uid="{00000000-0005-0000-0000-00009C0C0000}"/>
    <cellStyle name="Normal 2 25" xfId="1949" xr:uid="{00000000-0005-0000-0000-00009D0C0000}"/>
    <cellStyle name="Normal 2 25 2" xfId="4686" xr:uid="{00000000-0005-0000-0000-00009E0C0000}"/>
    <cellStyle name="Normal 2 26" xfId="2847" xr:uid="{00000000-0005-0000-0000-00009F0C0000}"/>
    <cellStyle name="Normal 2 3" xfId="57" xr:uid="{00000000-0005-0000-0000-0000A00C0000}"/>
    <cellStyle name="Normal 2 3 2" xfId="58" xr:uid="{00000000-0005-0000-0000-0000A10C0000}"/>
    <cellStyle name="Normal 2 4" xfId="59" xr:uid="{00000000-0005-0000-0000-0000A20C0000}"/>
    <cellStyle name="Normal 2 5" xfId="60" xr:uid="{00000000-0005-0000-0000-0000A30C0000}"/>
    <cellStyle name="Normal 2 6" xfId="61" xr:uid="{00000000-0005-0000-0000-0000A40C0000}"/>
    <cellStyle name="Normal 2 7" xfId="62" xr:uid="{00000000-0005-0000-0000-0000A50C0000}"/>
    <cellStyle name="Normal 2 8" xfId="63" xr:uid="{00000000-0005-0000-0000-0000A60C0000}"/>
    <cellStyle name="Normal 2 9" xfId="64" xr:uid="{00000000-0005-0000-0000-0000A70C0000}"/>
    <cellStyle name="Normal 20" xfId="97" xr:uid="{00000000-0005-0000-0000-0000A80C0000}"/>
    <cellStyle name="Normal 21" xfId="101" xr:uid="{00000000-0005-0000-0000-0000A90C0000}"/>
    <cellStyle name="Normal 21 10" xfId="1012" xr:uid="{00000000-0005-0000-0000-0000AA0C0000}"/>
    <cellStyle name="Normal 21 10 2" xfId="3752" xr:uid="{00000000-0005-0000-0000-0000AB0C0000}"/>
    <cellStyle name="Normal 21 11" xfId="1067" xr:uid="{00000000-0005-0000-0000-0000AC0C0000}"/>
    <cellStyle name="Normal 21 11 2" xfId="3804" xr:uid="{00000000-0005-0000-0000-0000AD0C0000}"/>
    <cellStyle name="Normal 21 12" xfId="1959" xr:uid="{00000000-0005-0000-0000-0000AE0C0000}"/>
    <cellStyle name="Normal 21 12 2" xfId="4696" xr:uid="{00000000-0005-0000-0000-0000AF0C0000}"/>
    <cellStyle name="Normal 21 13" xfId="2857" xr:uid="{00000000-0005-0000-0000-0000B00C0000}"/>
    <cellStyle name="Normal 21 2" xfId="107" xr:uid="{00000000-0005-0000-0000-0000B10C0000}"/>
    <cellStyle name="Normal 21 2 10" xfId="1073" xr:uid="{00000000-0005-0000-0000-0000B20C0000}"/>
    <cellStyle name="Normal 21 2 10 2" xfId="3810" xr:uid="{00000000-0005-0000-0000-0000B30C0000}"/>
    <cellStyle name="Normal 21 2 11" xfId="1965" xr:uid="{00000000-0005-0000-0000-0000B40C0000}"/>
    <cellStyle name="Normal 21 2 11 2" xfId="4702" xr:uid="{00000000-0005-0000-0000-0000B50C0000}"/>
    <cellStyle name="Normal 21 2 12" xfId="2863" xr:uid="{00000000-0005-0000-0000-0000B60C0000}"/>
    <cellStyle name="Normal 21 2 2" xfId="129" xr:uid="{00000000-0005-0000-0000-0000B70C0000}"/>
    <cellStyle name="Normal 21 2 2 10" xfId="2880" xr:uid="{00000000-0005-0000-0000-0000B80C0000}"/>
    <cellStyle name="Normal 21 2 2 2" xfId="173" xr:uid="{00000000-0005-0000-0000-0000B90C0000}"/>
    <cellStyle name="Normal 21 2 2 2 2" xfId="286" xr:uid="{00000000-0005-0000-0000-0000BA0C0000}"/>
    <cellStyle name="Normal 21 2 2 2 2 2" xfId="540" xr:uid="{00000000-0005-0000-0000-0000BB0C0000}"/>
    <cellStyle name="Normal 21 2 2 2 2 2 2" xfId="988" xr:uid="{00000000-0005-0000-0000-0000BC0C0000}"/>
    <cellStyle name="Normal 21 2 2 2 2 2 2 2" xfId="1938" xr:uid="{00000000-0005-0000-0000-0000BD0C0000}"/>
    <cellStyle name="Normal 21 2 2 2 2 2 2 2 2" xfId="4675" xr:uid="{00000000-0005-0000-0000-0000BE0C0000}"/>
    <cellStyle name="Normal 21 2 2 2 2 2 2 3" xfId="2830" xr:uid="{00000000-0005-0000-0000-0000BF0C0000}"/>
    <cellStyle name="Normal 21 2 2 2 2 2 2 3 2" xfId="5567" xr:uid="{00000000-0005-0000-0000-0000C00C0000}"/>
    <cellStyle name="Normal 21 2 2 2 2 2 2 4" xfId="3728" xr:uid="{00000000-0005-0000-0000-0000C10C0000}"/>
    <cellStyle name="Normal 21 2 2 2 2 2 3" xfId="1491" xr:uid="{00000000-0005-0000-0000-0000C20C0000}"/>
    <cellStyle name="Normal 21 2 2 2 2 2 3 2" xfId="4228" xr:uid="{00000000-0005-0000-0000-0000C30C0000}"/>
    <cellStyle name="Normal 21 2 2 2 2 2 4" xfId="2383" xr:uid="{00000000-0005-0000-0000-0000C40C0000}"/>
    <cellStyle name="Normal 21 2 2 2 2 2 4 2" xfId="5120" xr:uid="{00000000-0005-0000-0000-0000C50C0000}"/>
    <cellStyle name="Normal 21 2 2 2 2 2 5" xfId="3281" xr:uid="{00000000-0005-0000-0000-0000C60C0000}"/>
    <cellStyle name="Normal 21 2 2 2 2 3" xfId="739" xr:uid="{00000000-0005-0000-0000-0000C70C0000}"/>
    <cellStyle name="Normal 21 2 2 2 2 3 2" xfId="1689" xr:uid="{00000000-0005-0000-0000-0000C80C0000}"/>
    <cellStyle name="Normal 21 2 2 2 2 3 2 2" xfId="4426" xr:uid="{00000000-0005-0000-0000-0000C90C0000}"/>
    <cellStyle name="Normal 21 2 2 2 2 3 3" xfId="2581" xr:uid="{00000000-0005-0000-0000-0000CA0C0000}"/>
    <cellStyle name="Normal 21 2 2 2 2 3 3 2" xfId="5318" xr:uid="{00000000-0005-0000-0000-0000CB0C0000}"/>
    <cellStyle name="Normal 21 2 2 2 2 3 4" xfId="3479" xr:uid="{00000000-0005-0000-0000-0000CC0C0000}"/>
    <cellStyle name="Normal 21 2 2 2 2 4" xfId="1242" xr:uid="{00000000-0005-0000-0000-0000CD0C0000}"/>
    <cellStyle name="Normal 21 2 2 2 2 4 2" xfId="3979" xr:uid="{00000000-0005-0000-0000-0000CE0C0000}"/>
    <cellStyle name="Normal 21 2 2 2 2 5" xfId="2134" xr:uid="{00000000-0005-0000-0000-0000CF0C0000}"/>
    <cellStyle name="Normal 21 2 2 2 2 5 2" xfId="4871" xr:uid="{00000000-0005-0000-0000-0000D00C0000}"/>
    <cellStyle name="Normal 21 2 2 2 2 6" xfId="3032" xr:uid="{00000000-0005-0000-0000-0000D10C0000}"/>
    <cellStyle name="Normal 21 2 2 2 3" xfId="429" xr:uid="{00000000-0005-0000-0000-0000D20C0000}"/>
    <cellStyle name="Normal 21 2 2 2 3 2" xfId="877" xr:uid="{00000000-0005-0000-0000-0000D30C0000}"/>
    <cellStyle name="Normal 21 2 2 2 3 2 2" xfId="1827" xr:uid="{00000000-0005-0000-0000-0000D40C0000}"/>
    <cellStyle name="Normal 21 2 2 2 3 2 2 2" xfId="4564" xr:uid="{00000000-0005-0000-0000-0000D50C0000}"/>
    <cellStyle name="Normal 21 2 2 2 3 2 3" xfId="2719" xr:uid="{00000000-0005-0000-0000-0000D60C0000}"/>
    <cellStyle name="Normal 21 2 2 2 3 2 3 2" xfId="5456" xr:uid="{00000000-0005-0000-0000-0000D70C0000}"/>
    <cellStyle name="Normal 21 2 2 2 3 2 4" xfId="3617" xr:uid="{00000000-0005-0000-0000-0000D80C0000}"/>
    <cellStyle name="Normal 21 2 2 2 3 3" xfId="1380" xr:uid="{00000000-0005-0000-0000-0000D90C0000}"/>
    <cellStyle name="Normal 21 2 2 2 3 3 2" xfId="4117" xr:uid="{00000000-0005-0000-0000-0000DA0C0000}"/>
    <cellStyle name="Normal 21 2 2 2 3 4" xfId="2272" xr:uid="{00000000-0005-0000-0000-0000DB0C0000}"/>
    <cellStyle name="Normal 21 2 2 2 3 4 2" xfId="5009" xr:uid="{00000000-0005-0000-0000-0000DC0C0000}"/>
    <cellStyle name="Normal 21 2 2 2 3 5" xfId="3170" xr:uid="{00000000-0005-0000-0000-0000DD0C0000}"/>
    <cellStyle name="Normal 21 2 2 2 4" xfId="638" xr:uid="{00000000-0005-0000-0000-0000DE0C0000}"/>
    <cellStyle name="Normal 21 2 2 2 4 2" xfId="1588" xr:uid="{00000000-0005-0000-0000-0000DF0C0000}"/>
    <cellStyle name="Normal 21 2 2 2 4 2 2" xfId="4325" xr:uid="{00000000-0005-0000-0000-0000E00C0000}"/>
    <cellStyle name="Normal 21 2 2 2 4 3" xfId="2480" xr:uid="{00000000-0005-0000-0000-0000E10C0000}"/>
    <cellStyle name="Normal 21 2 2 2 4 3 2" xfId="5217" xr:uid="{00000000-0005-0000-0000-0000E20C0000}"/>
    <cellStyle name="Normal 21 2 2 2 4 4" xfId="3378" xr:uid="{00000000-0005-0000-0000-0000E30C0000}"/>
    <cellStyle name="Normal 21 2 2 2 5" xfId="1131" xr:uid="{00000000-0005-0000-0000-0000E40C0000}"/>
    <cellStyle name="Normal 21 2 2 2 5 2" xfId="3868" xr:uid="{00000000-0005-0000-0000-0000E50C0000}"/>
    <cellStyle name="Normal 21 2 2 2 6" xfId="2023" xr:uid="{00000000-0005-0000-0000-0000E60C0000}"/>
    <cellStyle name="Normal 21 2 2 2 6 2" xfId="4760" xr:uid="{00000000-0005-0000-0000-0000E70C0000}"/>
    <cellStyle name="Normal 21 2 2 2 7" xfId="2921" xr:uid="{00000000-0005-0000-0000-0000E80C0000}"/>
    <cellStyle name="Normal 21 2 2 3" xfId="245" xr:uid="{00000000-0005-0000-0000-0000E90C0000}"/>
    <cellStyle name="Normal 21 2 2 3 2" xfId="499" xr:uid="{00000000-0005-0000-0000-0000EA0C0000}"/>
    <cellStyle name="Normal 21 2 2 3 2 2" xfId="947" xr:uid="{00000000-0005-0000-0000-0000EB0C0000}"/>
    <cellStyle name="Normal 21 2 2 3 2 2 2" xfId="1897" xr:uid="{00000000-0005-0000-0000-0000EC0C0000}"/>
    <cellStyle name="Normal 21 2 2 3 2 2 2 2" xfId="4634" xr:uid="{00000000-0005-0000-0000-0000ED0C0000}"/>
    <cellStyle name="Normal 21 2 2 3 2 2 3" xfId="2789" xr:uid="{00000000-0005-0000-0000-0000EE0C0000}"/>
    <cellStyle name="Normal 21 2 2 3 2 2 3 2" xfId="5526" xr:uid="{00000000-0005-0000-0000-0000EF0C0000}"/>
    <cellStyle name="Normal 21 2 2 3 2 2 4" xfId="3687" xr:uid="{00000000-0005-0000-0000-0000F00C0000}"/>
    <cellStyle name="Normal 21 2 2 3 2 3" xfId="1450" xr:uid="{00000000-0005-0000-0000-0000F10C0000}"/>
    <cellStyle name="Normal 21 2 2 3 2 3 2" xfId="4187" xr:uid="{00000000-0005-0000-0000-0000F20C0000}"/>
    <cellStyle name="Normal 21 2 2 3 2 4" xfId="2342" xr:uid="{00000000-0005-0000-0000-0000F30C0000}"/>
    <cellStyle name="Normal 21 2 2 3 2 4 2" xfId="5079" xr:uid="{00000000-0005-0000-0000-0000F40C0000}"/>
    <cellStyle name="Normal 21 2 2 3 2 5" xfId="3240" xr:uid="{00000000-0005-0000-0000-0000F50C0000}"/>
    <cellStyle name="Normal 21 2 2 3 3" xfId="698" xr:uid="{00000000-0005-0000-0000-0000F60C0000}"/>
    <cellStyle name="Normal 21 2 2 3 3 2" xfId="1648" xr:uid="{00000000-0005-0000-0000-0000F70C0000}"/>
    <cellStyle name="Normal 21 2 2 3 3 2 2" xfId="4385" xr:uid="{00000000-0005-0000-0000-0000F80C0000}"/>
    <cellStyle name="Normal 21 2 2 3 3 3" xfId="2540" xr:uid="{00000000-0005-0000-0000-0000F90C0000}"/>
    <cellStyle name="Normal 21 2 2 3 3 3 2" xfId="5277" xr:uid="{00000000-0005-0000-0000-0000FA0C0000}"/>
    <cellStyle name="Normal 21 2 2 3 3 4" xfId="3438" xr:uid="{00000000-0005-0000-0000-0000FB0C0000}"/>
    <cellStyle name="Normal 21 2 2 3 4" xfId="1201" xr:uid="{00000000-0005-0000-0000-0000FC0C0000}"/>
    <cellStyle name="Normal 21 2 2 3 4 2" xfId="3938" xr:uid="{00000000-0005-0000-0000-0000FD0C0000}"/>
    <cellStyle name="Normal 21 2 2 3 5" xfId="2093" xr:uid="{00000000-0005-0000-0000-0000FE0C0000}"/>
    <cellStyle name="Normal 21 2 2 3 5 2" xfId="4830" xr:uid="{00000000-0005-0000-0000-0000FF0C0000}"/>
    <cellStyle name="Normal 21 2 2 3 6" xfId="2991" xr:uid="{00000000-0005-0000-0000-0000000D0000}"/>
    <cellStyle name="Normal 21 2 2 4" xfId="338" xr:uid="{00000000-0005-0000-0000-0000010D0000}"/>
    <cellStyle name="Normal 21 2 2 4 2" xfId="791" xr:uid="{00000000-0005-0000-0000-0000020D0000}"/>
    <cellStyle name="Normal 21 2 2 4 2 2" xfId="1741" xr:uid="{00000000-0005-0000-0000-0000030D0000}"/>
    <cellStyle name="Normal 21 2 2 4 2 2 2" xfId="4478" xr:uid="{00000000-0005-0000-0000-0000040D0000}"/>
    <cellStyle name="Normal 21 2 2 4 2 3" xfId="2633" xr:uid="{00000000-0005-0000-0000-0000050D0000}"/>
    <cellStyle name="Normal 21 2 2 4 2 3 2" xfId="5370" xr:uid="{00000000-0005-0000-0000-0000060D0000}"/>
    <cellStyle name="Normal 21 2 2 4 2 4" xfId="3531" xr:uid="{00000000-0005-0000-0000-0000070D0000}"/>
    <cellStyle name="Normal 21 2 2 4 3" xfId="1294" xr:uid="{00000000-0005-0000-0000-0000080D0000}"/>
    <cellStyle name="Normal 21 2 2 4 3 2" xfId="4031" xr:uid="{00000000-0005-0000-0000-0000090D0000}"/>
    <cellStyle name="Normal 21 2 2 4 4" xfId="2186" xr:uid="{00000000-0005-0000-0000-00000A0D0000}"/>
    <cellStyle name="Normal 21 2 2 4 4 2" xfId="4923" xr:uid="{00000000-0005-0000-0000-00000B0D0000}"/>
    <cellStyle name="Normal 21 2 2 4 5" xfId="3084" xr:uid="{00000000-0005-0000-0000-00000C0D0000}"/>
    <cellStyle name="Normal 21 2 2 5" xfId="388" xr:uid="{00000000-0005-0000-0000-00000D0D0000}"/>
    <cellStyle name="Normal 21 2 2 5 2" xfId="836" xr:uid="{00000000-0005-0000-0000-00000E0D0000}"/>
    <cellStyle name="Normal 21 2 2 5 2 2" xfId="1786" xr:uid="{00000000-0005-0000-0000-00000F0D0000}"/>
    <cellStyle name="Normal 21 2 2 5 2 2 2" xfId="4523" xr:uid="{00000000-0005-0000-0000-0000100D0000}"/>
    <cellStyle name="Normal 21 2 2 5 2 3" xfId="2678" xr:uid="{00000000-0005-0000-0000-0000110D0000}"/>
    <cellStyle name="Normal 21 2 2 5 2 3 2" xfId="5415" xr:uid="{00000000-0005-0000-0000-0000120D0000}"/>
    <cellStyle name="Normal 21 2 2 5 2 4" xfId="3576" xr:uid="{00000000-0005-0000-0000-0000130D0000}"/>
    <cellStyle name="Normal 21 2 2 5 3" xfId="1339" xr:uid="{00000000-0005-0000-0000-0000140D0000}"/>
    <cellStyle name="Normal 21 2 2 5 3 2" xfId="4076" xr:uid="{00000000-0005-0000-0000-0000150D0000}"/>
    <cellStyle name="Normal 21 2 2 5 4" xfId="2231" xr:uid="{00000000-0005-0000-0000-0000160D0000}"/>
    <cellStyle name="Normal 21 2 2 5 4 2" xfId="4968" xr:uid="{00000000-0005-0000-0000-0000170D0000}"/>
    <cellStyle name="Normal 21 2 2 5 5" xfId="3129" xr:uid="{00000000-0005-0000-0000-0000180D0000}"/>
    <cellStyle name="Normal 21 2 2 6" xfId="593" xr:uid="{00000000-0005-0000-0000-0000190D0000}"/>
    <cellStyle name="Normal 21 2 2 6 2" xfId="1543" xr:uid="{00000000-0005-0000-0000-00001A0D0000}"/>
    <cellStyle name="Normal 21 2 2 6 2 2" xfId="4280" xr:uid="{00000000-0005-0000-0000-00001B0D0000}"/>
    <cellStyle name="Normal 21 2 2 6 3" xfId="2435" xr:uid="{00000000-0005-0000-0000-00001C0D0000}"/>
    <cellStyle name="Normal 21 2 2 6 3 2" xfId="5172" xr:uid="{00000000-0005-0000-0000-00001D0D0000}"/>
    <cellStyle name="Normal 21 2 2 6 4" xfId="3333" xr:uid="{00000000-0005-0000-0000-00001E0D0000}"/>
    <cellStyle name="Normal 21 2 2 7" xfId="1041" xr:uid="{00000000-0005-0000-0000-00001F0D0000}"/>
    <cellStyle name="Normal 21 2 2 7 2" xfId="3780" xr:uid="{00000000-0005-0000-0000-0000200D0000}"/>
    <cellStyle name="Normal 21 2 2 8" xfId="1090" xr:uid="{00000000-0005-0000-0000-0000210D0000}"/>
    <cellStyle name="Normal 21 2 2 8 2" xfId="3827" xr:uid="{00000000-0005-0000-0000-0000220D0000}"/>
    <cellStyle name="Normal 21 2 2 9" xfId="1982" xr:uid="{00000000-0005-0000-0000-0000230D0000}"/>
    <cellStyle name="Normal 21 2 2 9 2" xfId="4719" xr:uid="{00000000-0005-0000-0000-0000240D0000}"/>
    <cellStyle name="Normal 21 2 3" xfId="156" xr:uid="{00000000-0005-0000-0000-0000250D0000}"/>
    <cellStyle name="Normal 21 2 3 2" xfId="269" xr:uid="{00000000-0005-0000-0000-0000260D0000}"/>
    <cellStyle name="Normal 21 2 3 2 2" xfId="523" xr:uid="{00000000-0005-0000-0000-0000270D0000}"/>
    <cellStyle name="Normal 21 2 3 2 2 2" xfId="971" xr:uid="{00000000-0005-0000-0000-0000280D0000}"/>
    <cellStyle name="Normal 21 2 3 2 2 2 2" xfId="1921" xr:uid="{00000000-0005-0000-0000-0000290D0000}"/>
    <cellStyle name="Normal 21 2 3 2 2 2 2 2" xfId="4658" xr:uid="{00000000-0005-0000-0000-00002A0D0000}"/>
    <cellStyle name="Normal 21 2 3 2 2 2 3" xfId="2813" xr:uid="{00000000-0005-0000-0000-00002B0D0000}"/>
    <cellStyle name="Normal 21 2 3 2 2 2 3 2" xfId="5550" xr:uid="{00000000-0005-0000-0000-00002C0D0000}"/>
    <cellStyle name="Normal 21 2 3 2 2 2 4" xfId="3711" xr:uid="{00000000-0005-0000-0000-00002D0D0000}"/>
    <cellStyle name="Normal 21 2 3 2 2 3" xfId="1474" xr:uid="{00000000-0005-0000-0000-00002E0D0000}"/>
    <cellStyle name="Normal 21 2 3 2 2 3 2" xfId="4211" xr:uid="{00000000-0005-0000-0000-00002F0D0000}"/>
    <cellStyle name="Normal 21 2 3 2 2 4" xfId="2366" xr:uid="{00000000-0005-0000-0000-0000300D0000}"/>
    <cellStyle name="Normal 21 2 3 2 2 4 2" xfId="5103" xr:uid="{00000000-0005-0000-0000-0000310D0000}"/>
    <cellStyle name="Normal 21 2 3 2 2 5" xfId="3264" xr:uid="{00000000-0005-0000-0000-0000320D0000}"/>
    <cellStyle name="Normal 21 2 3 2 3" xfId="722" xr:uid="{00000000-0005-0000-0000-0000330D0000}"/>
    <cellStyle name="Normal 21 2 3 2 3 2" xfId="1672" xr:uid="{00000000-0005-0000-0000-0000340D0000}"/>
    <cellStyle name="Normal 21 2 3 2 3 2 2" xfId="4409" xr:uid="{00000000-0005-0000-0000-0000350D0000}"/>
    <cellStyle name="Normal 21 2 3 2 3 3" xfId="2564" xr:uid="{00000000-0005-0000-0000-0000360D0000}"/>
    <cellStyle name="Normal 21 2 3 2 3 3 2" xfId="5301" xr:uid="{00000000-0005-0000-0000-0000370D0000}"/>
    <cellStyle name="Normal 21 2 3 2 3 4" xfId="3462" xr:uid="{00000000-0005-0000-0000-0000380D0000}"/>
    <cellStyle name="Normal 21 2 3 2 4" xfId="1225" xr:uid="{00000000-0005-0000-0000-0000390D0000}"/>
    <cellStyle name="Normal 21 2 3 2 4 2" xfId="3962" xr:uid="{00000000-0005-0000-0000-00003A0D0000}"/>
    <cellStyle name="Normal 21 2 3 2 5" xfId="2117" xr:uid="{00000000-0005-0000-0000-00003B0D0000}"/>
    <cellStyle name="Normal 21 2 3 2 5 2" xfId="4854" xr:uid="{00000000-0005-0000-0000-00003C0D0000}"/>
    <cellStyle name="Normal 21 2 3 2 6" xfId="3015" xr:uid="{00000000-0005-0000-0000-00003D0D0000}"/>
    <cellStyle name="Normal 21 2 3 3" xfId="412" xr:uid="{00000000-0005-0000-0000-00003E0D0000}"/>
    <cellStyle name="Normal 21 2 3 3 2" xfId="860" xr:uid="{00000000-0005-0000-0000-00003F0D0000}"/>
    <cellStyle name="Normal 21 2 3 3 2 2" xfId="1810" xr:uid="{00000000-0005-0000-0000-0000400D0000}"/>
    <cellStyle name="Normal 21 2 3 3 2 2 2" xfId="4547" xr:uid="{00000000-0005-0000-0000-0000410D0000}"/>
    <cellStyle name="Normal 21 2 3 3 2 3" xfId="2702" xr:uid="{00000000-0005-0000-0000-0000420D0000}"/>
    <cellStyle name="Normal 21 2 3 3 2 3 2" xfId="5439" xr:uid="{00000000-0005-0000-0000-0000430D0000}"/>
    <cellStyle name="Normal 21 2 3 3 2 4" xfId="3600" xr:uid="{00000000-0005-0000-0000-0000440D0000}"/>
    <cellStyle name="Normal 21 2 3 3 3" xfId="1363" xr:uid="{00000000-0005-0000-0000-0000450D0000}"/>
    <cellStyle name="Normal 21 2 3 3 3 2" xfId="4100" xr:uid="{00000000-0005-0000-0000-0000460D0000}"/>
    <cellStyle name="Normal 21 2 3 3 4" xfId="2255" xr:uid="{00000000-0005-0000-0000-0000470D0000}"/>
    <cellStyle name="Normal 21 2 3 3 4 2" xfId="4992" xr:uid="{00000000-0005-0000-0000-0000480D0000}"/>
    <cellStyle name="Normal 21 2 3 3 5" xfId="3153" xr:uid="{00000000-0005-0000-0000-0000490D0000}"/>
    <cellStyle name="Normal 21 2 3 4" xfId="621" xr:uid="{00000000-0005-0000-0000-00004A0D0000}"/>
    <cellStyle name="Normal 21 2 3 4 2" xfId="1571" xr:uid="{00000000-0005-0000-0000-00004B0D0000}"/>
    <cellStyle name="Normal 21 2 3 4 2 2" xfId="4308" xr:uid="{00000000-0005-0000-0000-00004C0D0000}"/>
    <cellStyle name="Normal 21 2 3 4 3" xfId="2463" xr:uid="{00000000-0005-0000-0000-00004D0D0000}"/>
    <cellStyle name="Normal 21 2 3 4 3 2" xfId="5200" xr:uid="{00000000-0005-0000-0000-00004E0D0000}"/>
    <cellStyle name="Normal 21 2 3 4 4" xfId="3361" xr:uid="{00000000-0005-0000-0000-00004F0D0000}"/>
    <cellStyle name="Normal 21 2 3 5" xfId="1114" xr:uid="{00000000-0005-0000-0000-0000500D0000}"/>
    <cellStyle name="Normal 21 2 3 5 2" xfId="3851" xr:uid="{00000000-0005-0000-0000-0000510D0000}"/>
    <cellStyle name="Normal 21 2 3 6" xfId="2006" xr:uid="{00000000-0005-0000-0000-0000520D0000}"/>
    <cellStyle name="Normal 21 2 3 6 2" xfId="4743" xr:uid="{00000000-0005-0000-0000-0000530D0000}"/>
    <cellStyle name="Normal 21 2 3 7" xfId="2904" xr:uid="{00000000-0005-0000-0000-0000540D0000}"/>
    <cellStyle name="Normal 21 2 4" xfId="199" xr:uid="{00000000-0005-0000-0000-0000550D0000}"/>
    <cellStyle name="Normal 21 2 4 2" xfId="454" xr:uid="{00000000-0005-0000-0000-0000560D0000}"/>
    <cellStyle name="Normal 21 2 4 2 2" xfId="902" xr:uid="{00000000-0005-0000-0000-0000570D0000}"/>
    <cellStyle name="Normal 21 2 4 2 2 2" xfId="1852" xr:uid="{00000000-0005-0000-0000-0000580D0000}"/>
    <cellStyle name="Normal 21 2 4 2 2 2 2" xfId="4589" xr:uid="{00000000-0005-0000-0000-0000590D0000}"/>
    <cellStyle name="Normal 21 2 4 2 2 3" xfId="2744" xr:uid="{00000000-0005-0000-0000-00005A0D0000}"/>
    <cellStyle name="Normal 21 2 4 2 2 3 2" xfId="5481" xr:uid="{00000000-0005-0000-0000-00005B0D0000}"/>
    <cellStyle name="Normal 21 2 4 2 2 4" xfId="3642" xr:uid="{00000000-0005-0000-0000-00005C0D0000}"/>
    <cellStyle name="Normal 21 2 4 2 3" xfId="1405" xr:uid="{00000000-0005-0000-0000-00005D0D0000}"/>
    <cellStyle name="Normal 21 2 4 2 3 2" xfId="4142" xr:uid="{00000000-0005-0000-0000-00005E0D0000}"/>
    <cellStyle name="Normal 21 2 4 2 4" xfId="2297" xr:uid="{00000000-0005-0000-0000-00005F0D0000}"/>
    <cellStyle name="Normal 21 2 4 2 4 2" xfId="5034" xr:uid="{00000000-0005-0000-0000-0000600D0000}"/>
    <cellStyle name="Normal 21 2 4 2 5" xfId="3195" xr:uid="{00000000-0005-0000-0000-0000610D0000}"/>
    <cellStyle name="Normal 21 2 4 3" xfId="657" xr:uid="{00000000-0005-0000-0000-0000620D0000}"/>
    <cellStyle name="Normal 21 2 4 3 2" xfId="1607" xr:uid="{00000000-0005-0000-0000-0000630D0000}"/>
    <cellStyle name="Normal 21 2 4 3 2 2" xfId="4344" xr:uid="{00000000-0005-0000-0000-0000640D0000}"/>
    <cellStyle name="Normal 21 2 4 3 3" xfId="2499" xr:uid="{00000000-0005-0000-0000-0000650D0000}"/>
    <cellStyle name="Normal 21 2 4 3 3 2" xfId="5236" xr:uid="{00000000-0005-0000-0000-0000660D0000}"/>
    <cellStyle name="Normal 21 2 4 3 4" xfId="3397" xr:uid="{00000000-0005-0000-0000-0000670D0000}"/>
    <cellStyle name="Normal 21 2 4 4" xfId="1156" xr:uid="{00000000-0005-0000-0000-0000680D0000}"/>
    <cellStyle name="Normal 21 2 4 4 2" xfId="3893" xr:uid="{00000000-0005-0000-0000-0000690D0000}"/>
    <cellStyle name="Normal 21 2 4 5" xfId="2048" xr:uid="{00000000-0005-0000-0000-00006A0D0000}"/>
    <cellStyle name="Normal 21 2 4 5 2" xfId="4785" xr:uid="{00000000-0005-0000-0000-00006B0D0000}"/>
    <cellStyle name="Normal 21 2 4 6" xfId="2946" xr:uid="{00000000-0005-0000-0000-00006C0D0000}"/>
    <cellStyle name="Normal 21 2 5" xfId="228" xr:uid="{00000000-0005-0000-0000-00006D0D0000}"/>
    <cellStyle name="Normal 21 2 5 2" xfId="482" xr:uid="{00000000-0005-0000-0000-00006E0D0000}"/>
    <cellStyle name="Normal 21 2 5 2 2" xfId="930" xr:uid="{00000000-0005-0000-0000-00006F0D0000}"/>
    <cellStyle name="Normal 21 2 5 2 2 2" xfId="1880" xr:uid="{00000000-0005-0000-0000-0000700D0000}"/>
    <cellStyle name="Normal 21 2 5 2 2 2 2" xfId="4617" xr:uid="{00000000-0005-0000-0000-0000710D0000}"/>
    <cellStyle name="Normal 21 2 5 2 2 3" xfId="2772" xr:uid="{00000000-0005-0000-0000-0000720D0000}"/>
    <cellStyle name="Normal 21 2 5 2 2 3 2" xfId="5509" xr:uid="{00000000-0005-0000-0000-0000730D0000}"/>
    <cellStyle name="Normal 21 2 5 2 2 4" xfId="3670" xr:uid="{00000000-0005-0000-0000-0000740D0000}"/>
    <cellStyle name="Normal 21 2 5 2 3" xfId="1433" xr:uid="{00000000-0005-0000-0000-0000750D0000}"/>
    <cellStyle name="Normal 21 2 5 2 3 2" xfId="4170" xr:uid="{00000000-0005-0000-0000-0000760D0000}"/>
    <cellStyle name="Normal 21 2 5 2 4" xfId="2325" xr:uid="{00000000-0005-0000-0000-0000770D0000}"/>
    <cellStyle name="Normal 21 2 5 2 4 2" xfId="5062" xr:uid="{00000000-0005-0000-0000-0000780D0000}"/>
    <cellStyle name="Normal 21 2 5 2 5" xfId="3223" xr:uid="{00000000-0005-0000-0000-0000790D0000}"/>
    <cellStyle name="Normal 21 2 5 3" xfId="681" xr:uid="{00000000-0005-0000-0000-00007A0D0000}"/>
    <cellStyle name="Normal 21 2 5 3 2" xfId="1631" xr:uid="{00000000-0005-0000-0000-00007B0D0000}"/>
    <cellStyle name="Normal 21 2 5 3 2 2" xfId="4368" xr:uid="{00000000-0005-0000-0000-00007C0D0000}"/>
    <cellStyle name="Normal 21 2 5 3 3" xfId="2523" xr:uid="{00000000-0005-0000-0000-00007D0D0000}"/>
    <cellStyle name="Normal 21 2 5 3 3 2" xfId="5260" xr:uid="{00000000-0005-0000-0000-00007E0D0000}"/>
    <cellStyle name="Normal 21 2 5 3 4" xfId="3421" xr:uid="{00000000-0005-0000-0000-00007F0D0000}"/>
    <cellStyle name="Normal 21 2 5 4" xfId="1184" xr:uid="{00000000-0005-0000-0000-0000800D0000}"/>
    <cellStyle name="Normal 21 2 5 4 2" xfId="3921" xr:uid="{00000000-0005-0000-0000-0000810D0000}"/>
    <cellStyle name="Normal 21 2 5 5" xfId="2076" xr:uid="{00000000-0005-0000-0000-0000820D0000}"/>
    <cellStyle name="Normal 21 2 5 5 2" xfId="4813" xr:uid="{00000000-0005-0000-0000-0000830D0000}"/>
    <cellStyle name="Normal 21 2 5 6" xfId="2974" xr:uid="{00000000-0005-0000-0000-0000840D0000}"/>
    <cellStyle name="Normal 21 2 6" xfId="311" xr:uid="{00000000-0005-0000-0000-0000850D0000}"/>
    <cellStyle name="Normal 21 2 6 2" xfId="764" xr:uid="{00000000-0005-0000-0000-0000860D0000}"/>
    <cellStyle name="Normal 21 2 6 2 2" xfId="1714" xr:uid="{00000000-0005-0000-0000-0000870D0000}"/>
    <cellStyle name="Normal 21 2 6 2 2 2" xfId="4451" xr:uid="{00000000-0005-0000-0000-0000880D0000}"/>
    <cellStyle name="Normal 21 2 6 2 3" xfId="2606" xr:uid="{00000000-0005-0000-0000-0000890D0000}"/>
    <cellStyle name="Normal 21 2 6 2 3 2" xfId="5343" xr:uid="{00000000-0005-0000-0000-00008A0D0000}"/>
    <cellStyle name="Normal 21 2 6 2 4" xfId="3504" xr:uid="{00000000-0005-0000-0000-00008B0D0000}"/>
    <cellStyle name="Normal 21 2 6 3" xfId="1267" xr:uid="{00000000-0005-0000-0000-00008C0D0000}"/>
    <cellStyle name="Normal 21 2 6 3 2" xfId="4004" xr:uid="{00000000-0005-0000-0000-00008D0D0000}"/>
    <cellStyle name="Normal 21 2 6 4" xfId="2159" xr:uid="{00000000-0005-0000-0000-00008E0D0000}"/>
    <cellStyle name="Normal 21 2 6 4 2" xfId="4896" xr:uid="{00000000-0005-0000-0000-00008F0D0000}"/>
    <cellStyle name="Normal 21 2 6 5" xfId="3057" xr:uid="{00000000-0005-0000-0000-0000900D0000}"/>
    <cellStyle name="Normal 21 2 7" xfId="371" xr:uid="{00000000-0005-0000-0000-0000910D0000}"/>
    <cellStyle name="Normal 21 2 7 2" xfId="819" xr:uid="{00000000-0005-0000-0000-0000920D0000}"/>
    <cellStyle name="Normal 21 2 7 2 2" xfId="1769" xr:uid="{00000000-0005-0000-0000-0000930D0000}"/>
    <cellStyle name="Normal 21 2 7 2 2 2" xfId="4506" xr:uid="{00000000-0005-0000-0000-0000940D0000}"/>
    <cellStyle name="Normal 21 2 7 2 3" xfId="2661" xr:uid="{00000000-0005-0000-0000-0000950D0000}"/>
    <cellStyle name="Normal 21 2 7 2 3 2" xfId="5398" xr:uid="{00000000-0005-0000-0000-0000960D0000}"/>
    <cellStyle name="Normal 21 2 7 2 4" xfId="3559" xr:uid="{00000000-0005-0000-0000-0000970D0000}"/>
    <cellStyle name="Normal 21 2 7 3" xfId="1322" xr:uid="{00000000-0005-0000-0000-0000980D0000}"/>
    <cellStyle name="Normal 21 2 7 3 2" xfId="4059" xr:uid="{00000000-0005-0000-0000-0000990D0000}"/>
    <cellStyle name="Normal 21 2 7 4" xfId="2214" xr:uid="{00000000-0005-0000-0000-00009A0D0000}"/>
    <cellStyle name="Normal 21 2 7 4 2" xfId="4951" xr:uid="{00000000-0005-0000-0000-00009B0D0000}"/>
    <cellStyle name="Normal 21 2 7 5" xfId="3112" xr:uid="{00000000-0005-0000-0000-00009C0D0000}"/>
    <cellStyle name="Normal 21 2 8" xfId="565" xr:uid="{00000000-0005-0000-0000-00009D0D0000}"/>
    <cellStyle name="Normal 21 2 8 2" xfId="1516" xr:uid="{00000000-0005-0000-0000-00009E0D0000}"/>
    <cellStyle name="Normal 21 2 8 2 2" xfId="4253" xr:uid="{00000000-0005-0000-0000-00009F0D0000}"/>
    <cellStyle name="Normal 21 2 8 3" xfId="2408" xr:uid="{00000000-0005-0000-0000-0000A00D0000}"/>
    <cellStyle name="Normal 21 2 8 3 2" xfId="5145" xr:uid="{00000000-0005-0000-0000-0000A10D0000}"/>
    <cellStyle name="Normal 21 2 8 4" xfId="3306" xr:uid="{00000000-0005-0000-0000-0000A20D0000}"/>
    <cellStyle name="Normal 21 2 9" xfId="1013" xr:uid="{00000000-0005-0000-0000-0000A30D0000}"/>
    <cellStyle name="Normal 21 2 9 2" xfId="3753" xr:uid="{00000000-0005-0000-0000-0000A40D0000}"/>
    <cellStyle name="Normal 21 3" xfId="128" xr:uid="{00000000-0005-0000-0000-0000A50D0000}"/>
    <cellStyle name="Normal 21 3 10" xfId="2879" xr:uid="{00000000-0005-0000-0000-0000A60D0000}"/>
    <cellStyle name="Normal 21 3 2" xfId="172" xr:uid="{00000000-0005-0000-0000-0000A70D0000}"/>
    <cellStyle name="Normal 21 3 2 2" xfId="285" xr:uid="{00000000-0005-0000-0000-0000A80D0000}"/>
    <cellStyle name="Normal 21 3 2 2 2" xfId="539" xr:uid="{00000000-0005-0000-0000-0000A90D0000}"/>
    <cellStyle name="Normal 21 3 2 2 2 2" xfId="987" xr:uid="{00000000-0005-0000-0000-0000AA0D0000}"/>
    <cellStyle name="Normal 21 3 2 2 2 2 2" xfId="1937" xr:uid="{00000000-0005-0000-0000-0000AB0D0000}"/>
    <cellStyle name="Normal 21 3 2 2 2 2 2 2" xfId="4674" xr:uid="{00000000-0005-0000-0000-0000AC0D0000}"/>
    <cellStyle name="Normal 21 3 2 2 2 2 3" xfId="2829" xr:uid="{00000000-0005-0000-0000-0000AD0D0000}"/>
    <cellStyle name="Normal 21 3 2 2 2 2 3 2" xfId="5566" xr:uid="{00000000-0005-0000-0000-0000AE0D0000}"/>
    <cellStyle name="Normal 21 3 2 2 2 2 4" xfId="3727" xr:uid="{00000000-0005-0000-0000-0000AF0D0000}"/>
    <cellStyle name="Normal 21 3 2 2 2 3" xfId="1490" xr:uid="{00000000-0005-0000-0000-0000B00D0000}"/>
    <cellStyle name="Normal 21 3 2 2 2 3 2" xfId="4227" xr:uid="{00000000-0005-0000-0000-0000B10D0000}"/>
    <cellStyle name="Normal 21 3 2 2 2 4" xfId="2382" xr:uid="{00000000-0005-0000-0000-0000B20D0000}"/>
    <cellStyle name="Normal 21 3 2 2 2 4 2" xfId="5119" xr:uid="{00000000-0005-0000-0000-0000B30D0000}"/>
    <cellStyle name="Normal 21 3 2 2 2 5" xfId="3280" xr:uid="{00000000-0005-0000-0000-0000B40D0000}"/>
    <cellStyle name="Normal 21 3 2 2 3" xfId="738" xr:uid="{00000000-0005-0000-0000-0000B50D0000}"/>
    <cellStyle name="Normal 21 3 2 2 3 2" xfId="1688" xr:uid="{00000000-0005-0000-0000-0000B60D0000}"/>
    <cellStyle name="Normal 21 3 2 2 3 2 2" xfId="4425" xr:uid="{00000000-0005-0000-0000-0000B70D0000}"/>
    <cellStyle name="Normal 21 3 2 2 3 3" xfId="2580" xr:uid="{00000000-0005-0000-0000-0000B80D0000}"/>
    <cellStyle name="Normal 21 3 2 2 3 3 2" xfId="5317" xr:uid="{00000000-0005-0000-0000-0000B90D0000}"/>
    <cellStyle name="Normal 21 3 2 2 3 4" xfId="3478" xr:uid="{00000000-0005-0000-0000-0000BA0D0000}"/>
    <cellStyle name="Normal 21 3 2 2 4" xfId="1241" xr:uid="{00000000-0005-0000-0000-0000BB0D0000}"/>
    <cellStyle name="Normal 21 3 2 2 4 2" xfId="3978" xr:uid="{00000000-0005-0000-0000-0000BC0D0000}"/>
    <cellStyle name="Normal 21 3 2 2 5" xfId="2133" xr:uid="{00000000-0005-0000-0000-0000BD0D0000}"/>
    <cellStyle name="Normal 21 3 2 2 5 2" xfId="4870" xr:uid="{00000000-0005-0000-0000-0000BE0D0000}"/>
    <cellStyle name="Normal 21 3 2 2 6" xfId="3031" xr:uid="{00000000-0005-0000-0000-0000BF0D0000}"/>
    <cellStyle name="Normal 21 3 2 3" xfId="428" xr:uid="{00000000-0005-0000-0000-0000C00D0000}"/>
    <cellStyle name="Normal 21 3 2 3 2" xfId="876" xr:uid="{00000000-0005-0000-0000-0000C10D0000}"/>
    <cellStyle name="Normal 21 3 2 3 2 2" xfId="1826" xr:uid="{00000000-0005-0000-0000-0000C20D0000}"/>
    <cellStyle name="Normal 21 3 2 3 2 2 2" xfId="4563" xr:uid="{00000000-0005-0000-0000-0000C30D0000}"/>
    <cellStyle name="Normal 21 3 2 3 2 3" xfId="2718" xr:uid="{00000000-0005-0000-0000-0000C40D0000}"/>
    <cellStyle name="Normal 21 3 2 3 2 3 2" xfId="5455" xr:uid="{00000000-0005-0000-0000-0000C50D0000}"/>
    <cellStyle name="Normal 21 3 2 3 2 4" xfId="3616" xr:uid="{00000000-0005-0000-0000-0000C60D0000}"/>
    <cellStyle name="Normal 21 3 2 3 3" xfId="1379" xr:uid="{00000000-0005-0000-0000-0000C70D0000}"/>
    <cellStyle name="Normal 21 3 2 3 3 2" xfId="4116" xr:uid="{00000000-0005-0000-0000-0000C80D0000}"/>
    <cellStyle name="Normal 21 3 2 3 4" xfId="2271" xr:uid="{00000000-0005-0000-0000-0000C90D0000}"/>
    <cellStyle name="Normal 21 3 2 3 4 2" xfId="5008" xr:uid="{00000000-0005-0000-0000-0000CA0D0000}"/>
    <cellStyle name="Normal 21 3 2 3 5" xfId="3169" xr:uid="{00000000-0005-0000-0000-0000CB0D0000}"/>
    <cellStyle name="Normal 21 3 2 4" xfId="637" xr:uid="{00000000-0005-0000-0000-0000CC0D0000}"/>
    <cellStyle name="Normal 21 3 2 4 2" xfId="1587" xr:uid="{00000000-0005-0000-0000-0000CD0D0000}"/>
    <cellStyle name="Normal 21 3 2 4 2 2" xfId="4324" xr:uid="{00000000-0005-0000-0000-0000CE0D0000}"/>
    <cellStyle name="Normal 21 3 2 4 3" xfId="2479" xr:uid="{00000000-0005-0000-0000-0000CF0D0000}"/>
    <cellStyle name="Normal 21 3 2 4 3 2" xfId="5216" xr:uid="{00000000-0005-0000-0000-0000D00D0000}"/>
    <cellStyle name="Normal 21 3 2 4 4" xfId="3377" xr:uid="{00000000-0005-0000-0000-0000D10D0000}"/>
    <cellStyle name="Normal 21 3 2 5" xfId="1130" xr:uid="{00000000-0005-0000-0000-0000D20D0000}"/>
    <cellStyle name="Normal 21 3 2 5 2" xfId="3867" xr:uid="{00000000-0005-0000-0000-0000D30D0000}"/>
    <cellStyle name="Normal 21 3 2 6" xfId="2022" xr:uid="{00000000-0005-0000-0000-0000D40D0000}"/>
    <cellStyle name="Normal 21 3 2 6 2" xfId="4759" xr:uid="{00000000-0005-0000-0000-0000D50D0000}"/>
    <cellStyle name="Normal 21 3 2 7" xfId="2920" xr:uid="{00000000-0005-0000-0000-0000D60D0000}"/>
    <cellStyle name="Normal 21 3 3" xfId="244" xr:uid="{00000000-0005-0000-0000-0000D70D0000}"/>
    <cellStyle name="Normal 21 3 3 2" xfId="498" xr:uid="{00000000-0005-0000-0000-0000D80D0000}"/>
    <cellStyle name="Normal 21 3 3 2 2" xfId="946" xr:uid="{00000000-0005-0000-0000-0000D90D0000}"/>
    <cellStyle name="Normal 21 3 3 2 2 2" xfId="1896" xr:uid="{00000000-0005-0000-0000-0000DA0D0000}"/>
    <cellStyle name="Normal 21 3 3 2 2 2 2" xfId="4633" xr:uid="{00000000-0005-0000-0000-0000DB0D0000}"/>
    <cellStyle name="Normal 21 3 3 2 2 3" xfId="2788" xr:uid="{00000000-0005-0000-0000-0000DC0D0000}"/>
    <cellStyle name="Normal 21 3 3 2 2 3 2" xfId="5525" xr:uid="{00000000-0005-0000-0000-0000DD0D0000}"/>
    <cellStyle name="Normal 21 3 3 2 2 4" xfId="3686" xr:uid="{00000000-0005-0000-0000-0000DE0D0000}"/>
    <cellStyle name="Normal 21 3 3 2 3" xfId="1449" xr:uid="{00000000-0005-0000-0000-0000DF0D0000}"/>
    <cellStyle name="Normal 21 3 3 2 3 2" xfId="4186" xr:uid="{00000000-0005-0000-0000-0000E00D0000}"/>
    <cellStyle name="Normal 21 3 3 2 4" xfId="2341" xr:uid="{00000000-0005-0000-0000-0000E10D0000}"/>
    <cellStyle name="Normal 21 3 3 2 4 2" xfId="5078" xr:uid="{00000000-0005-0000-0000-0000E20D0000}"/>
    <cellStyle name="Normal 21 3 3 2 5" xfId="3239" xr:uid="{00000000-0005-0000-0000-0000E30D0000}"/>
    <cellStyle name="Normal 21 3 3 3" xfId="697" xr:uid="{00000000-0005-0000-0000-0000E40D0000}"/>
    <cellStyle name="Normal 21 3 3 3 2" xfId="1647" xr:uid="{00000000-0005-0000-0000-0000E50D0000}"/>
    <cellStyle name="Normal 21 3 3 3 2 2" xfId="4384" xr:uid="{00000000-0005-0000-0000-0000E60D0000}"/>
    <cellStyle name="Normal 21 3 3 3 3" xfId="2539" xr:uid="{00000000-0005-0000-0000-0000E70D0000}"/>
    <cellStyle name="Normal 21 3 3 3 3 2" xfId="5276" xr:uid="{00000000-0005-0000-0000-0000E80D0000}"/>
    <cellStyle name="Normal 21 3 3 3 4" xfId="3437" xr:uid="{00000000-0005-0000-0000-0000E90D0000}"/>
    <cellStyle name="Normal 21 3 3 4" xfId="1200" xr:uid="{00000000-0005-0000-0000-0000EA0D0000}"/>
    <cellStyle name="Normal 21 3 3 4 2" xfId="3937" xr:uid="{00000000-0005-0000-0000-0000EB0D0000}"/>
    <cellStyle name="Normal 21 3 3 5" xfId="2092" xr:uid="{00000000-0005-0000-0000-0000EC0D0000}"/>
    <cellStyle name="Normal 21 3 3 5 2" xfId="4829" xr:uid="{00000000-0005-0000-0000-0000ED0D0000}"/>
    <cellStyle name="Normal 21 3 3 6" xfId="2990" xr:uid="{00000000-0005-0000-0000-0000EE0D0000}"/>
    <cellStyle name="Normal 21 3 4" xfId="337" xr:uid="{00000000-0005-0000-0000-0000EF0D0000}"/>
    <cellStyle name="Normal 21 3 4 2" xfId="790" xr:uid="{00000000-0005-0000-0000-0000F00D0000}"/>
    <cellStyle name="Normal 21 3 4 2 2" xfId="1740" xr:uid="{00000000-0005-0000-0000-0000F10D0000}"/>
    <cellStyle name="Normal 21 3 4 2 2 2" xfId="4477" xr:uid="{00000000-0005-0000-0000-0000F20D0000}"/>
    <cellStyle name="Normal 21 3 4 2 3" xfId="2632" xr:uid="{00000000-0005-0000-0000-0000F30D0000}"/>
    <cellStyle name="Normal 21 3 4 2 3 2" xfId="5369" xr:uid="{00000000-0005-0000-0000-0000F40D0000}"/>
    <cellStyle name="Normal 21 3 4 2 4" xfId="3530" xr:uid="{00000000-0005-0000-0000-0000F50D0000}"/>
    <cellStyle name="Normal 21 3 4 3" xfId="1293" xr:uid="{00000000-0005-0000-0000-0000F60D0000}"/>
    <cellStyle name="Normal 21 3 4 3 2" xfId="4030" xr:uid="{00000000-0005-0000-0000-0000F70D0000}"/>
    <cellStyle name="Normal 21 3 4 4" xfId="2185" xr:uid="{00000000-0005-0000-0000-0000F80D0000}"/>
    <cellStyle name="Normal 21 3 4 4 2" xfId="4922" xr:uid="{00000000-0005-0000-0000-0000F90D0000}"/>
    <cellStyle name="Normal 21 3 4 5" xfId="3083" xr:uid="{00000000-0005-0000-0000-0000FA0D0000}"/>
    <cellStyle name="Normal 21 3 5" xfId="387" xr:uid="{00000000-0005-0000-0000-0000FB0D0000}"/>
    <cellStyle name="Normal 21 3 5 2" xfId="835" xr:uid="{00000000-0005-0000-0000-0000FC0D0000}"/>
    <cellStyle name="Normal 21 3 5 2 2" xfId="1785" xr:uid="{00000000-0005-0000-0000-0000FD0D0000}"/>
    <cellStyle name="Normal 21 3 5 2 2 2" xfId="4522" xr:uid="{00000000-0005-0000-0000-0000FE0D0000}"/>
    <cellStyle name="Normal 21 3 5 2 3" xfId="2677" xr:uid="{00000000-0005-0000-0000-0000FF0D0000}"/>
    <cellStyle name="Normal 21 3 5 2 3 2" xfId="5414" xr:uid="{00000000-0005-0000-0000-0000000E0000}"/>
    <cellStyle name="Normal 21 3 5 2 4" xfId="3575" xr:uid="{00000000-0005-0000-0000-0000010E0000}"/>
    <cellStyle name="Normal 21 3 5 3" xfId="1338" xr:uid="{00000000-0005-0000-0000-0000020E0000}"/>
    <cellStyle name="Normal 21 3 5 3 2" xfId="4075" xr:uid="{00000000-0005-0000-0000-0000030E0000}"/>
    <cellStyle name="Normal 21 3 5 4" xfId="2230" xr:uid="{00000000-0005-0000-0000-0000040E0000}"/>
    <cellStyle name="Normal 21 3 5 4 2" xfId="4967" xr:uid="{00000000-0005-0000-0000-0000050E0000}"/>
    <cellStyle name="Normal 21 3 5 5" xfId="3128" xr:uid="{00000000-0005-0000-0000-0000060E0000}"/>
    <cellStyle name="Normal 21 3 6" xfId="592" xr:uid="{00000000-0005-0000-0000-0000070E0000}"/>
    <cellStyle name="Normal 21 3 6 2" xfId="1542" xr:uid="{00000000-0005-0000-0000-0000080E0000}"/>
    <cellStyle name="Normal 21 3 6 2 2" xfId="4279" xr:uid="{00000000-0005-0000-0000-0000090E0000}"/>
    <cellStyle name="Normal 21 3 6 3" xfId="2434" xr:uid="{00000000-0005-0000-0000-00000A0E0000}"/>
    <cellStyle name="Normal 21 3 6 3 2" xfId="5171" xr:uid="{00000000-0005-0000-0000-00000B0E0000}"/>
    <cellStyle name="Normal 21 3 6 4" xfId="3332" xr:uid="{00000000-0005-0000-0000-00000C0E0000}"/>
    <cellStyle name="Normal 21 3 7" xfId="1040" xr:uid="{00000000-0005-0000-0000-00000D0E0000}"/>
    <cellStyle name="Normal 21 3 7 2" xfId="3779" xr:uid="{00000000-0005-0000-0000-00000E0E0000}"/>
    <cellStyle name="Normal 21 3 8" xfId="1089" xr:uid="{00000000-0005-0000-0000-00000F0E0000}"/>
    <cellStyle name="Normal 21 3 8 2" xfId="3826" xr:uid="{00000000-0005-0000-0000-0000100E0000}"/>
    <cellStyle name="Normal 21 3 9" xfId="1981" xr:uid="{00000000-0005-0000-0000-0000110E0000}"/>
    <cellStyle name="Normal 21 3 9 2" xfId="4718" xr:uid="{00000000-0005-0000-0000-0000120E0000}"/>
    <cellStyle name="Normal 21 4" xfId="150" xr:uid="{00000000-0005-0000-0000-0000130E0000}"/>
    <cellStyle name="Normal 21 4 2" xfId="263" xr:uid="{00000000-0005-0000-0000-0000140E0000}"/>
    <cellStyle name="Normal 21 4 2 2" xfId="517" xr:uid="{00000000-0005-0000-0000-0000150E0000}"/>
    <cellStyle name="Normal 21 4 2 2 2" xfId="965" xr:uid="{00000000-0005-0000-0000-0000160E0000}"/>
    <cellStyle name="Normal 21 4 2 2 2 2" xfId="1915" xr:uid="{00000000-0005-0000-0000-0000170E0000}"/>
    <cellStyle name="Normal 21 4 2 2 2 2 2" xfId="4652" xr:uid="{00000000-0005-0000-0000-0000180E0000}"/>
    <cellStyle name="Normal 21 4 2 2 2 3" xfId="2807" xr:uid="{00000000-0005-0000-0000-0000190E0000}"/>
    <cellStyle name="Normal 21 4 2 2 2 3 2" xfId="5544" xr:uid="{00000000-0005-0000-0000-00001A0E0000}"/>
    <cellStyle name="Normal 21 4 2 2 2 4" xfId="3705" xr:uid="{00000000-0005-0000-0000-00001B0E0000}"/>
    <cellStyle name="Normal 21 4 2 2 3" xfId="1468" xr:uid="{00000000-0005-0000-0000-00001C0E0000}"/>
    <cellStyle name="Normal 21 4 2 2 3 2" xfId="4205" xr:uid="{00000000-0005-0000-0000-00001D0E0000}"/>
    <cellStyle name="Normal 21 4 2 2 4" xfId="2360" xr:uid="{00000000-0005-0000-0000-00001E0E0000}"/>
    <cellStyle name="Normal 21 4 2 2 4 2" xfId="5097" xr:uid="{00000000-0005-0000-0000-00001F0E0000}"/>
    <cellStyle name="Normal 21 4 2 2 5" xfId="3258" xr:uid="{00000000-0005-0000-0000-0000200E0000}"/>
    <cellStyle name="Normal 21 4 2 3" xfId="716" xr:uid="{00000000-0005-0000-0000-0000210E0000}"/>
    <cellStyle name="Normal 21 4 2 3 2" xfId="1666" xr:uid="{00000000-0005-0000-0000-0000220E0000}"/>
    <cellStyle name="Normal 21 4 2 3 2 2" xfId="4403" xr:uid="{00000000-0005-0000-0000-0000230E0000}"/>
    <cellStyle name="Normal 21 4 2 3 3" xfId="2558" xr:uid="{00000000-0005-0000-0000-0000240E0000}"/>
    <cellStyle name="Normal 21 4 2 3 3 2" xfId="5295" xr:uid="{00000000-0005-0000-0000-0000250E0000}"/>
    <cellStyle name="Normal 21 4 2 3 4" xfId="3456" xr:uid="{00000000-0005-0000-0000-0000260E0000}"/>
    <cellStyle name="Normal 21 4 2 4" xfId="1219" xr:uid="{00000000-0005-0000-0000-0000270E0000}"/>
    <cellStyle name="Normal 21 4 2 4 2" xfId="3956" xr:uid="{00000000-0005-0000-0000-0000280E0000}"/>
    <cellStyle name="Normal 21 4 2 5" xfId="2111" xr:uid="{00000000-0005-0000-0000-0000290E0000}"/>
    <cellStyle name="Normal 21 4 2 5 2" xfId="4848" xr:uid="{00000000-0005-0000-0000-00002A0E0000}"/>
    <cellStyle name="Normal 21 4 2 6" xfId="3009" xr:uid="{00000000-0005-0000-0000-00002B0E0000}"/>
    <cellStyle name="Normal 21 4 3" xfId="406" xr:uid="{00000000-0005-0000-0000-00002C0E0000}"/>
    <cellStyle name="Normal 21 4 3 2" xfId="854" xr:uid="{00000000-0005-0000-0000-00002D0E0000}"/>
    <cellStyle name="Normal 21 4 3 2 2" xfId="1804" xr:uid="{00000000-0005-0000-0000-00002E0E0000}"/>
    <cellStyle name="Normal 21 4 3 2 2 2" xfId="4541" xr:uid="{00000000-0005-0000-0000-00002F0E0000}"/>
    <cellStyle name="Normal 21 4 3 2 3" xfId="2696" xr:uid="{00000000-0005-0000-0000-0000300E0000}"/>
    <cellStyle name="Normal 21 4 3 2 3 2" xfId="5433" xr:uid="{00000000-0005-0000-0000-0000310E0000}"/>
    <cellStyle name="Normal 21 4 3 2 4" xfId="3594" xr:uid="{00000000-0005-0000-0000-0000320E0000}"/>
    <cellStyle name="Normal 21 4 3 3" xfId="1357" xr:uid="{00000000-0005-0000-0000-0000330E0000}"/>
    <cellStyle name="Normal 21 4 3 3 2" xfId="4094" xr:uid="{00000000-0005-0000-0000-0000340E0000}"/>
    <cellStyle name="Normal 21 4 3 4" xfId="2249" xr:uid="{00000000-0005-0000-0000-0000350E0000}"/>
    <cellStyle name="Normal 21 4 3 4 2" xfId="4986" xr:uid="{00000000-0005-0000-0000-0000360E0000}"/>
    <cellStyle name="Normal 21 4 3 5" xfId="3147" xr:uid="{00000000-0005-0000-0000-0000370E0000}"/>
    <cellStyle name="Normal 21 4 4" xfId="615" xr:uid="{00000000-0005-0000-0000-0000380E0000}"/>
    <cellStyle name="Normal 21 4 4 2" xfId="1565" xr:uid="{00000000-0005-0000-0000-0000390E0000}"/>
    <cellStyle name="Normal 21 4 4 2 2" xfId="4302" xr:uid="{00000000-0005-0000-0000-00003A0E0000}"/>
    <cellStyle name="Normal 21 4 4 3" xfId="2457" xr:uid="{00000000-0005-0000-0000-00003B0E0000}"/>
    <cellStyle name="Normal 21 4 4 3 2" xfId="5194" xr:uid="{00000000-0005-0000-0000-00003C0E0000}"/>
    <cellStyle name="Normal 21 4 4 4" xfId="3355" xr:uid="{00000000-0005-0000-0000-00003D0E0000}"/>
    <cellStyle name="Normal 21 4 5" xfId="1108" xr:uid="{00000000-0005-0000-0000-00003E0E0000}"/>
    <cellStyle name="Normal 21 4 5 2" xfId="3845" xr:uid="{00000000-0005-0000-0000-00003F0E0000}"/>
    <cellStyle name="Normal 21 4 6" xfId="2000" xr:uid="{00000000-0005-0000-0000-0000400E0000}"/>
    <cellStyle name="Normal 21 4 6 2" xfId="4737" xr:uid="{00000000-0005-0000-0000-0000410E0000}"/>
    <cellStyle name="Normal 21 4 7" xfId="2898" xr:uid="{00000000-0005-0000-0000-0000420E0000}"/>
    <cellStyle name="Normal 21 5" xfId="198" xr:uid="{00000000-0005-0000-0000-0000430E0000}"/>
    <cellStyle name="Normal 21 5 2" xfId="453" xr:uid="{00000000-0005-0000-0000-0000440E0000}"/>
    <cellStyle name="Normal 21 5 2 2" xfId="901" xr:uid="{00000000-0005-0000-0000-0000450E0000}"/>
    <cellStyle name="Normal 21 5 2 2 2" xfId="1851" xr:uid="{00000000-0005-0000-0000-0000460E0000}"/>
    <cellStyle name="Normal 21 5 2 2 2 2" xfId="4588" xr:uid="{00000000-0005-0000-0000-0000470E0000}"/>
    <cellStyle name="Normal 21 5 2 2 3" xfId="2743" xr:uid="{00000000-0005-0000-0000-0000480E0000}"/>
    <cellStyle name="Normal 21 5 2 2 3 2" xfId="5480" xr:uid="{00000000-0005-0000-0000-0000490E0000}"/>
    <cellStyle name="Normal 21 5 2 2 4" xfId="3641" xr:uid="{00000000-0005-0000-0000-00004A0E0000}"/>
    <cellStyle name="Normal 21 5 2 3" xfId="1404" xr:uid="{00000000-0005-0000-0000-00004B0E0000}"/>
    <cellStyle name="Normal 21 5 2 3 2" xfId="4141" xr:uid="{00000000-0005-0000-0000-00004C0E0000}"/>
    <cellStyle name="Normal 21 5 2 4" xfId="2296" xr:uid="{00000000-0005-0000-0000-00004D0E0000}"/>
    <cellStyle name="Normal 21 5 2 4 2" xfId="5033" xr:uid="{00000000-0005-0000-0000-00004E0E0000}"/>
    <cellStyle name="Normal 21 5 2 5" xfId="3194" xr:uid="{00000000-0005-0000-0000-00004F0E0000}"/>
    <cellStyle name="Normal 21 5 3" xfId="656" xr:uid="{00000000-0005-0000-0000-0000500E0000}"/>
    <cellStyle name="Normal 21 5 3 2" xfId="1606" xr:uid="{00000000-0005-0000-0000-0000510E0000}"/>
    <cellStyle name="Normal 21 5 3 2 2" xfId="4343" xr:uid="{00000000-0005-0000-0000-0000520E0000}"/>
    <cellStyle name="Normal 21 5 3 3" xfId="2498" xr:uid="{00000000-0005-0000-0000-0000530E0000}"/>
    <cellStyle name="Normal 21 5 3 3 2" xfId="5235" xr:uid="{00000000-0005-0000-0000-0000540E0000}"/>
    <cellStyle name="Normal 21 5 3 4" xfId="3396" xr:uid="{00000000-0005-0000-0000-0000550E0000}"/>
    <cellStyle name="Normal 21 5 4" xfId="1155" xr:uid="{00000000-0005-0000-0000-0000560E0000}"/>
    <cellStyle name="Normal 21 5 4 2" xfId="3892" xr:uid="{00000000-0005-0000-0000-0000570E0000}"/>
    <cellStyle name="Normal 21 5 5" xfId="2047" xr:uid="{00000000-0005-0000-0000-0000580E0000}"/>
    <cellStyle name="Normal 21 5 5 2" xfId="4784" xr:uid="{00000000-0005-0000-0000-0000590E0000}"/>
    <cellStyle name="Normal 21 5 6" xfId="2945" xr:uid="{00000000-0005-0000-0000-00005A0E0000}"/>
    <cellStyle name="Normal 21 6" xfId="222" xr:uid="{00000000-0005-0000-0000-00005B0E0000}"/>
    <cellStyle name="Normal 21 6 2" xfId="476" xr:uid="{00000000-0005-0000-0000-00005C0E0000}"/>
    <cellStyle name="Normal 21 6 2 2" xfId="924" xr:uid="{00000000-0005-0000-0000-00005D0E0000}"/>
    <cellStyle name="Normal 21 6 2 2 2" xfId="1874" xr:uid="{00000000-0005-0000-0000-00005E0E0000}"/>
    <cellStyle name="Normal 21 6 2 2 2 2" xfId="4611" xr:uid="{00000000-0005-0000-0000-00005F0E0000}"/>
    <cellStyle name="Normal 21 6 2 2 3" xfId="2766" xr:uid="{00000000-0005-0000-0000-0000600E0000}"/>
    <cellStyle name="Normal 21 6 2 2 3 2" xfId="5503" xr:uid="{00000000-0005-0000-0000-0000610E0000}"/>
    <cellStyle name="Normal 21 6 2 2 4" xfId="3664" xr:uid="{00000000-0005-0000-0000-0000620E0000}"/>
    <cellStyle name="Normal 21 6 2 3" xfId="1427" xr:uid="{00000000-0005-0000-0000-0000630E0000}"/>
    <cellStyle name="Normal 21 6 2 3 2" xfId="4164" xr:uid="{00000000-0005-0000-0000-0000640E0000}"/>
    <cellStyle name="Normal 21 6 2 4" xfId="2319" xr:uid="{00000000-0005-0000-0000-0000650E0000}"/>
    <cellStyle name="Normal 21 6 2 4 2" xfId="5056" xr:uid="{00000000-0005-0000-0000-0000660E0000}"/>
    <cellStyle name="Normal 21 6 2 5" xfId="3217" xr:uid="{00000000-0005-0000-0000-0000670E0000}"/>
    <cellStyle name="Normal 21 6 3" xfId="675" xr:uid="{00000000-0005-0000-0000-0000680E0000}"/>
    <cellStyle name="Normal 21 6 3 2" xfId="1625" xr:uid="{00000000-0005-0000-0000-0000690E0000}"/>
    <cellStyle name="Normal 21 6 3 2 2" xfId="4362" xr:uid="{00000000-0005-0000-0000-00006A0E0000}"/>
    <cellStyle name="Normal 21 6 3 3" xfId="2517" xr:uid="{00000000-0005-0000-0000-00006B0E0000}"/>
    <cellStyle name="Normal 21 6 3 3 2" xfId="5254" xr:uid="{00000000-0005-0000-0000-00006C0E0000}"/>
    <cellStyle name="Normal 21 6 3 4" xfId="3415" xr:uid="{00000000-0005-0000-0000-00006D0E0000}"/>
    <cellStyle name="Normal 21 6 4" xfId="1178" xr:uid="{00000000-0005-0000-0000-00006E0E0000}"/>
    <cellStyle name="Normal 21 6 4 2" xfId="3915" xr:uid="{00000000-0005-0000-0000-00006F0E0000}"/>
    <cellStyle name="Normal 21 6 5" xfId="2070" xr:uid="{00000000-0005-0000-0000-0000700E0000}"/>
    <cellStyle name="Normal 21 6 5 2" xfId="4807" xr:uid="{00000000-0005-0000-0000-0000710E0000}"/>
    <cellStyle name="Normal 21 6 6" xfId="2968" xr:uid="{00000000-0005-0000-0000-0000720E0000}"/>
    <cellStyle name="Normal 21 7" xfId="310" xr:uid="{00000000-0005-0000-0000-0000730E0000}"/>
    <cellStyle name="Normal 21 7 2" xfId="763" xr:uid="{00000000-0005-0000-0000-0000740E0000}"/>
    <cellStyle name="Normal 21 7 2 2" xfId="1713" xr:uid="{00000000-0005-0000-0000-0000750E0000}"/>
    <cellStyle name="Normal 21 7 2 2 2" xfId="4450" xr:uid="{00000000-0005-0000-0000-0000760E0000}"/>
    <cellStyle name="Normal 21 7 2 3" xfId="2605" xr:uid="{00000000-0005-0000-0000-0000770E0000}"/>
    <cellStyle name="Normal 21 7 2 3 2" xfId="5342" xr:uid="{00000000-0005-0000-0000-0000780E0000}"/>
    <cellStyle name="Normal 21 7 2 4" xfId="3503" xr:uid="{00000000-0005-0000-0000-0000790E0000}"/>
    <cellStyle name="Normal 21 7 3" xfId="1266" xr:uid="{00000000-0005-0000-0000-00007A0E0000}"/>
    <cellStyle name="Normal 21 7 3 2" xfId="4003" xr:uid="{00000000-0005-0000-0000-00007B0E0000}"/>
    <cellStyle name="Normal 21 7 4" xfId="2158" xr:uid="{00000000-0005-0000-0000-00007C0E0000}"/>
    <cellStyle name="Normal 21 7 4 2" xfId="4895" xr:uid="{00000000-0005-0000-0000-00007D0E0000}"/>
    <cellStyle name="Normal 21 7 5" xfId="3056" xr:uid="{00000000-0005-0000-0000-00007E0E0000}"/>
    <cellStyle name="Normal 21 8" xfId="365" xr:uid="{00000000-0005-0000-0000-00007F0E0000}"/>
    <cellStyle name="Normal 21 8 2" xfId="813" xr:uid="{00000000-0005-0000-0000-0000800E0000}"/>
    <cellStyle name="Normal 21 8 2 2" xfId="1763" xr:uid="{00000000-0005-0000-0000-0000810E0000}"/>
    <cellStyle name="Normal 21 8 2 2 2" xfId="4500" xr:uid="{00000000-0005-0000-0000-0000820E0000}"/>
    <cellStyle name="Normal 21 8 2 3" xfId="2655" xr:uid="{00000000-0005-0000-0000-0000830E0000}"/>
    <cellStyle name="Normal 21 8 2 3 2" xfId="5392" xr:uid="{00000000-0005-0000-0000-0000840E0000}"/>
    <cellStyle name="Normal 21 8 2 4" xfId="3553" xr:uid="{00000000-0005-0000-0000-0000850E0000}"/>
    <cellStyle name="Normal 21 8 3" xfId="1316" xr:uid="{00000000-0005-0000-0000-0000860E0000}"/>
    <cellStyle name="Normal 21 8 3 2" xfId="4053" xr:uid="{00000000-0005-0000-0000-0000870E0000}"/>
    <cellStyle name="Normal 21 8 4" xfId="2208" xr:uid="{00000000-0005-0000-0000-0000880E0000}"/>
    <cellStyle name="Normal 21 8 4 2" xfId="4945" xr:uid="{00000000-0005-0000-0000-0000890E0000}"/>
    <cellStyle name="Normal 21 8 5" xfId="3106" xr:uid="{00000000-0005-0000-0000-00008A0E0000}"/>
    <cellStyle name="Normal 21 9" xfId="564" xr:uid="{00000000-0005-0000-0000-00008B0E0000}"/>
    <cellStyle name="Normal 21 9 2" xfId="1515" xr:uid="{00000000-0005-0000-0000-00008C0E0000}"/>
    <cellStyle name="Normal 21 9 2 2" xfId="4252" xr:uid="{00000000-0005-0000-0000-00008D0E0000}"/>
    <cellStyle name="Normal 21 9 3" xfId="2407" xr:uid="{00000000-0005-0000-0000-00008E0E0000}"/>
    <cellStyle name="Normal 21 9 3 2" xfId="5144" xr:uid="{00000000-0005-0000-0000-00008F0E0000}"/>
    <cellStyle name="Normal 21 9 4" xfId="3305" xr:uid="{00000000-0005-0000-0000-0000900E0000}"/>
    <cellStyle name="Normal 22" xfId="102" xr:uid="{00000000-0005-0000-0000-0000910E0000}"/>
    <cellStyle name="Normal 22 10" xfId="1014" xr:uid="{00000000-0005-0000-0000-0000920E0000}"/>
    <cellStyle name="Normal 22 10 2" xfId="3754" xr:uid="{00000000-0005-0000-0000-0000930E0000}"/>
    <cellStyle name="Normal 22 11" xfId="1068" xr:uid="{00000000-0005-0000-0000-0000940E0000}"/>
    <cellStyle name="Normal 22 11 2" xfId="3805" xr:uid="{00000000-0005-0000-0000-0000950E0000}"/>
    <cellStyle name="Normal 22 12" xfId="1960" xr:uid="{00000000-0005-0000-0000-0000960E0000}"/>
    <cellStyle name="Normal 22 12 2" xfId="4697" xr:uid="{00000000-0005-0000-0000-0000970E0000}"/>
    <cellStyle name="Normal 22 13" xfId="2858" xr:uid="{00000000-0005-0000-0000-0000980E0000}"/>
    <cellStyle name="Normal 22 2" xfId="108" xr:uid="{00000000-0005-0000-0000-0000990E0000}"/>
    <cellStyle name="Normal 22 2 10" xfId="1074" xr:uid="{00000000-0005-0000-0000-00009A0E0000}"/>
    <cellStyle name="Normal 22 2 10 2" xfId="3811" xr:uid="{00000000-0005-0000-0000-00009B0E0000}"/>
    <cellStyle name="Normal 22 2 11" xfId="1966" xr:uid="{00000000-0005-0000-0000-00009C0E0000}"/>
    <cellStyle name="Normal 22 2 11 2" xfId="4703" xr:uid="{00000000-0005-0000-0000-00009D0E0000}"/>
    <cellStyle name="Normal 22 2 12" xfId="2864" xr:uid="{00000000-0005-0000-0000-00009E0E0000}"/>
    <cellStyle name="Normal 22 2 2" xfId="131" xr:uid="{00000000-0005-0000-0000-00009F0E0000}"/>
    <cellStyle name="Normal 22 2 2 10" xfId="2882" xr:uid="{00000000-0005-0000-0000-0000A00E0000}"/>
    <cellStyle name="Normal 22 2 2 2" xfId="175" xr:uid="{00000000-0005-0000-0000-0000A10E0000}"/>
    <cellStyle name="Normal 22 2 2 2 2" xfId="288" xr:uid="{00000000-0005-0000-0000-0000A20E0000}"/>
    <cellStyle name="Normal 22 2 2 2 2 2" xfId="542" xr:uid="{00000000-0005-0000-0000-0000A30E0000}"/>
    <cellStyle name="Normal 22 2 2 2 2 2 2" xfId="990" xr:uid="{00000000-0005-0000-0000-0000A40E0000}"/>
    <cellStyle name="Normal 22 2 2 2 2 2 2 2" xfId="1940" xr:uid="{00000000-0005-0000-0000-0000A50E0000}"/>
    <cellStyle name="Normal 22 2 2 2 2 2 2 2 2" xfId="4677" xr:uid="{00000000-0005-0000-0000-0000A60E0000}"/>
    <cellStyle name="Normal 22 2 2 2 2 2 2 3" xfId="2832" xr:uid="{00000000-0005-0000-0000-0000A70E0000}"/>
    <cellStyle name="Normal 22 2 2 2 2 2 2 3 2" xfId="5569" xr:uid="{00000000-0005-0000-0000-0000A80E0000}"/>
    <cellStyle name="Normal 22 2 2 2 2 2 2 4" xfId="3730" xr:uid="{00000000-0005-0000-0000-0000A90E0000}"/>
    <cellStyle name="Normal 22 2 2 2 2 2 3" xfId="1493" xr:uid="{00000000-0005-0000-0000-0000AA0E0000}"/>
    <cellStyle name="Normal 22 2 2 2 2 2 3 2" xfId="4230" xr:uid="{00000000-0005-0000-0000-0000AB0E0000}"/>
    <cellStyle name="Normal 22 2 2 2 2 2 4" xfId="2385" xr:uid="{00000000-0005-0000-0000-0000AC0E0000}"/>
    <cellStyle name="Normal 22 2 2 2 2 2 4 2" xfId="5122" xr:uid="{00000000-0005-0000-0000-0000AD0E0000}"/>
    <cellStyle name="Normal 22 2 2 2 2 2 5" xfId="3283" xr:uid="{00000000-0005-0000-0000-0000AE0E0000}"/>
    <cellStyle name="Normal 22 2 2 2 2 3" xfId="741" xr:uid="{00000000-0005-0000-0000-0000AF0E0000}"/>
    <cellStyle name="Normal 22 2 2 2 2 3 2" xfId="1691" xr:uid="{00000000-0005-0000-0000-0000B00E0000}"/>
    <cellStyle name="Normal 22 2 2 2 2 3 2 2" xfId="4428" xr:uid="{00000000-0005-0000-0000-0000B10E0000}"/>
    <cellStyle name="Normal 22 2 2 2 2 3 3" xfId="2583" xr:uid="{00000000-0005-0000-0000-0000B20E0000}"/>
    <cellStyle name="Normal 22 2 2 2 2 3 3 2" xfId="5320" xr:uid="{00000000-0005-0000-0000-0000B30E0000}"/>
    <cellStyle name="Normal 22 2 2 2 2 3 4" xfId="3481" xr:uid="{00000000-0005-0000-0000-0000B40E0000}"/>
    <cellStyle name="Normal 22 2 2 2 2 4" xfId="1244" xr:uid="{00000000-0005-0000-0000-0000B50E0000}"/>
    <cellStyle name="Normal 22 2 2 2 2 4 2" xfId="3981" xr:uid="{00000000-0005-0000-0000-0000B60E0000}"/>
    <cellStyle name="Normal 22 2 2 2 2 5" xfId="2136" xr:uid="{00000000-0005-0000-0000-0000B70E0000}"/>
    <cellStyle name="Normal 22 2 2 2 2 5 2" xfId="4873" xr:uid="{00000000-0005-0000-0000-0000B80E0000}"/>
    <cellStyle name="Normal 22 2 2 2 2 6" xfId="3034" xr:uid="{00000000-0005-0000-0000-0000B90E0000}"/>
    <cellStyle name="Normal 22 2 2 2 3" xfId="431" xr:uid="{00000000-0005-0000-0000-0000BA0E0000}"/>
    <cellStyle name="Normal 22 2 2 2 3 2" xfId="879" xr:uid="{00000000-0005-0000-0000-0000BB0E0000}"/>
    <cellStyle name="Normal 22 2 2 2 3 2 2" xfId="1829" xr:uid="{00000000-0005-0000-0000-0000BC0E0000}"/>
    <cellStyle name="Normal 22 2 2 2 3 2 2 2" xfId="4566" xr:uid="{00000000-0005-0000-0000-0000BD0E0000}"/>
    <cellStyle name="Normal 22 2 2 2 3 2 3" xfId="2721" xr:uid="{00000000-0005-0000-0000-0000BE0E0000}"/>
    <cellStyle name="Normal 22 2 2 2 3 2 3 2" xfId="5458" xr:uid="{00000000-0005-0000-0000-0000BF0E0000}"/>
    <cellStyle name="Normal 22 2 2 2 3 2 4" xfId="3619" xr:uid="{00000000-0005-0000-0000-0000C00E0000}"/>
    <cellStyle name="Normal 22 2 2 2 3 3" xfId="1382" xr:uid="{00000000-0005-0000-0000-0000C10E0000}"/>
    <cellStyle name="Normal 22 2 2 2 3 3 2" xfId="4119" xr:uid="{00000000-0005-0000-0000-0000C20E0000}"/>
    <cellStyle name="Normal 22 2 2 2 3 4" xfId="2274" xr:uid="{00000000-0005-0000-0000-0000C30E0000}"/>
    <cellStyle name="Normal 22 2 2 2 3 4 2" xfId="5011" xr:uid="{00000000-0005-0000-0000-0000C40E0000}"/>
    <cellStyle name="Normal 22 2 2 2 3 5" xfId="3172" xr:uid="{00000000-0005-0000-0000-0000C50E0000}"/>
    <cellStyle name="Normal 22 2 2 2 4" xfId="640" xr:uid="{00000000-0005-0000-0000-0000C60E0000}"/>
    <cellStyle name="Normal 22 2 2 2 4 2" xfId="1590" xr:uid="{00000000-0005-0000-0000-0000C70E0000}"/>
    <cellStyle name="Normal 22 2 2 2 4 2 2" xfId="4327" xr:uid="{00000000-0005-0000-0000-0000C80E0000}"/>
    <cellStyle name="Normal 22 2 2 2 4 3" xfId="2482" xr:uid="{00000000-0005-0000-0000-0000C90E0000}"/>
    <cellStyle name="Normal 22 2 2 2 4 3 2" xfId="5219" xr:uid="{00000000-0005-0000-0000-0000CA0E0000}"/>
    <cellStyle name="Normal 22 2 2 2 4 4" xfId="3380" xr:uid="{00000000-0005-0000-0000-0000CB0E0000}"/>
    <cellStyle name="Normal 22 2 2 2 5" xfId="1133" xr:uid="{00000000-0005-0000-0000-0000CC0E0000}"/>
    <cellStyle name="Normal 22 2 2 2 5 2" xfId="3870" xr:uid="{00000000-0005-0000-0000-0000CD0E0000}"/>
    <cellStyle name="Normal 22 2 2 2 6" xfId="2025" xr:uid="{00000000-0005-0000-0000-0000CE0E0000}"/>
    <cellStyle name="Normal 22 2 2 2 6 2" xfId="4762" xr:uid="{00000000-0005-0000-0000-0000CF0E0000}"/>
    <cellStyle name="Normal 22 2 2 2 7" xfId="2923" xr:uid="{00000000-0005-0000-0000-0000D00E0000}"/>
    <cellStyle name="Normal 22 2 2 3" xfId="247" xr:uid="{00000000-0005-0000-0000-0000D10E0000}"/>
    <cellStyle name="Normal 22 2 2 3 2" xfId="501" xr:uid="{00000000-0005-0000-0000-0000D20E0000}"/>
    <cellStyle name="Normal 22 2 2 3 2 2" xfId="949" xr:uid="{00000000-0005-0000-0000-0000D30E0000}"/>
    <cellStyle name="Normal 22 2 2 3 2 2 2" xfId="1899" xr:uid="{00000000-0005-0000-0000-0000D40E0000}"/>
    <cellStyle name="Normal 22 2 2 3 2 2 2 2" xfId="4636" xr:uid="{00000000-0005-0000-0000-0000D50E0000}"/>
    <cellStyle name="Normal 22 2 2 3 2 2 3" xfId="2791" xr:uid="{00000000-0005-0000-0000-0000D60E0000}"/>
    <cellStyle name="Normal 22 2 2 3 2 2 3 2" xfId="5528" xr:uid="{00000000-0005-0000-0000-0000D70E0000}"/>
    <cellStyle name="Normal 22 2 2 3 2 2 4" xfId="3689" xr:uid="{00000000-0005-0000-0000-0000D80E0000}"/>
    <cellStyle name="Normal 22 2 2 3 2 3" xfId="1452" xr:uid="{00000000-0005-0000-0000-0000D90E0000}"/>
    <cellStyle name="Normal 22 2 2 3 2 3 2" xfId="4189" xr:uid="{00000000-0005-0000-0000-0000DA0E0000}"/>
    <cellStyle name="Normal 22 2 2 3 2 4" xfId="2344" xr:uid="{00000000-0005-0000-0000-0000DB0E0000}"/>
    <cellStyle name="Normal 22 2 2 3 2 4 2" xfId="5081" xr:uid="{00000000-0005-0000-0000-0000DC0E0000}"/>
    <cellStyle name="Normal 22 2 2 3 2 5" xfId="3242" xr:uid="{00000000-0005-0000-0000-0000DD0E0000}"/>
    <cellStyle name="Normal 22 2 2 3 3" xfId="700" xr:uid="{00000000-0005-0000-0000-0000DE0E0000}"/>
    <cellStyle name="Normal 22 2 2 3 3 2" xfId="1650" xr:uid="{00000000-0005-0000-0000-0000DF0E0000}"/>
    <cellStyle name="Normal 22 2 2 3 3 2 2" xfId="4387" xr:uid="{00000000-0005-0000-0000-0000E00E0000}"/>
    <cellStyle name="Normal 22 2 2 3 3 3" xfId="2542" xr:uid="{00000000-0005-0000-0000-0000E10E0000}"/>
    <cellStyle name="Normal 22 2 2 3 3 3 2" xfId="5279" xr:uid="{00000000-0005-0000-0000-0000E20E0000}"/>
    <cellStyle name="Normal 22 2 2 3 3 4" xfId="3440" xr:uid="{00000000-0005-0000-0000-0000E30E0000}"/>
    <cellStyle name="Normal 22 2 2 3 4" xfId="1203" xr:uid="{00000000-0005-0000-0000-0000E40E0000}"/>
    <cellStyle name="Normal 22 2 2 3 4 2" xfId="3940" xr:uid="{00000000-0005-0000-0000-0000E50E0000}"/>
    <cellStyle name="Normal 22 2 2 3 5" xfId="2095" xr:uid="{00000000-0005-0000-0000-0000E60E0000}"/>
    <cellStyle name="Normal 22 2 2 3 5 2" xfId="4832" xr:uid="{00000000-0005-0000-0000-0000E70E0000}"/>
    <cellStyle name="Normal 22 2 2 3 6" xfId="2993" xr:uid="{00000000-0005-0000-0000-0000E80E0000}"/>
    <cellStyle name="Normal 22 2 2 4" xfId="340" xr:uid="{00000000-0005-0000-0000-0000E90E0000}"/>
    <cellStyle name="Normal 22 2 2 4 2" xfId="793" xr:uid="{00000000-0005-0000-0000-0000EA0E0000}"/>
    <cellStyle name="Normal 22 2 2 4 2 2" xfId="1743" xr:uid="{00000000-0005-0000-0000-0000EB0E0000}"/>
    <cellStyle name="Normal 22 2 2 4 2 2 2" xfId="4480" xr:uid="{00000000-0005-0000-0000-0000EC0E0000}"/>
    <cellStyle name="Normal 22 2 2 4 2 3" xfId="2635" xr:uid="{00000000-0005-0000-0000-0000ED0E0000}"/>
    <cellStyle name="Normal 22 2 2 4 2 3 2" xfId="5372" xr:uid="{00000000-0005-0000-0000-0000EE0E0000}"/>
    <cellStyle name="Normal 22 2 2 4 2 4" xfId="3533" xr:uid="{00000000-0005-0000-0000-0000EF0E0000}"/>
    <cellStyle name="Normal 22 2 2 4 3" xfId="1296" xr:uid="{00000000-0005-0000-0000-0000F00E0000}"/>
    <cellStyle name="Normal 22 2 2 4 3 2" xfId="4033" xr:uid="{00000000-0005-0000-0000-0000F10E0000}"/>
    <cellStyle name="Normal 22 2 2 4 4" xfId="2188" xr:uid="{00000000-0005-0000-0000-0000F20E0000}"/>
    <cellStyle name="Normal 22 2 2 4 4 2" xfId="4925" xr:uid="{00000000-0005-0000-0000-0000F30E0000}"/>
    <cellStyle name="Normal 22 2 2 4 5" xfId="3086" xr:uid="{00000000-0005-0000-0000-0000F40E0000}"/>
    <cellStyle name="Normal 22 2 2 5" xfId="390" xr:uid="{00000000-0005-0000-0000-0000F50E0000}"/>
    <cellStyle name="Normal 22 2 2 5 2" xfId="838" xr:uid="{00000000-0005-0000-0000-0000F60E0000}"/>
    <cellStyle name="Normal 22 2 2 5 2 2" xfId="1788" xr:uid="{00000000-0005-0000-0000-0000F70E0000}"/>
    <cellStyle name="Normal 22 2 2 5 2 2 2" xfId="4525" xr:uid="{00000000-0005-0000-0000-0000F80E0000}"/>
    <cellStyle name="Normal 22 2 2 5 2 3" xfId="2680" xr:uid="{00000000-0005-0000-0000-0000F90E0000}"/>
    <cellStyle name="Normal 22 2 2 5 2 3 2" xfId="5417" xr:uid="{00000000-0005-0000-0000-0000FA0E0000}"/>
    <cellStyle name="Normal 22 2 2 5 2 4" xfId="3578" xr:uid="{00000000-0005-0000-0000-0000FB0E0000}"/>
    <cellStyle name="Normal 22 2 2 5 3" xfId="1341" xr:uid="{00000000-0005-0000-0000-0000FC0E0000}"/>
    <cellStyle name="Normal 22 2 2 5 3 2" xfId="4078" xr:uid="{00000000-0005-0000-0000-0000FD0E0000}"/>
    <cellStyle name="Normal 22 2 2 5 4" xfId="2233" xr:uid="{00000000-0005-0000-0000-0000FE0E0000}"/>
    <cellStyle name="Normal 22 2 2 5 4 2" xfId="4970" xr:uid="{00000000-0005-0000-0000-0000FF0E0000}"/>
    <cellStyle name="Normal 22 2 2 5 5" xfId="3131" xr:uid="{00000000-0005-0000-0000-0000000F0000}"/>
    <cellStyle name="Normal 22 2 2 6" xfId="595" xr:uid="{00000000-0005-0000-0000-0000010F0000}"/>
    <cellStyle name="Normal 22 2 2 6 2" xfId="1545" xr:uid="{00000000-0005-0000-0000-0000020F0000}"/>
    <cellStyle name="Normal 22 2 2 6 2 2" xfId="4282" xr:uid="{00000000-0005-0000-0000-0000030F0000}"/>
    <cellStyle name="Normal 22 2 2 6 3" xfId="2437" xr:uid="{00000000-0005-0000-0000-0000040F0000}"/>
    <cellStyle name="Normal 22 2 2 6 3 2" xfId="5174" xr:uid="{00000000-0005-0000-0000-0000050F0000}"/>
    <cellStyle name="Normal 22 2 2 6 4" xfId="3335" xr:uid="{00000000-0005-0000-0000-0000060F0000}"/>
    <cellStyle name="Normal 22 2 2 7" xfId="1043" xr:uid="{00000000-0005-0000-0000-0000070F0000}"/>
    <cellStyle name="Normal 22 2 2 7 2" xfId="3782" xr:uid="{00000000-0005-0000-0000-0000080F0000}"/>
    <cellStyle name="Normal 22 2 2 8" xfId="1092" xr:uid="{00000000-0005-0000-0000-0000090F0000}"/>
    <cellStyle name="Normal 22 2 2 8 2" xfId="3829" xr:uid="{00000000-0005-0000-0000-00000A0F0000}"/>
    <cellStyle name="Normal 22 2 2 9" xfId="1984" xr:uid="{00000000-0005-0000-0000-00000B0F0000}"/>
    <cellStyle name="Normal 22 2 2 9 2" xfId="4721" xr:uid="{00000000-0005-0000-0000-00000C0F0000}"/>
    <cellStyle name="Normal 22 2 3" xfId="157" xr:uid="{00000000-0005-0000-0000-00000D0F0000}"/>
    <cellStyle name="Normal 22 2 3 2" xfId="270" xr:uid="{00000000-0005-0000-0000-00000E0F0000}"/>
    <cellStyle name="Normal 22 2 3 2 2" xfId="524" xr:uid="{00000000-0005-0000-0000-00000F0F0000}"/>
    <cellStyle name="Normal 22 2 3 2 2 2" xfId="972" xr:uid="{00000000-0005-0000-0000-0000100F0000}"/>
    <cellStyle name="Normal 22 2 3 2 2 2 2" xfId="1922" xr:uid="{00000000-0005-0000-0000-0000110F0000}"/>
    <cellStyle name="Normal 22 2 3 2 2 2 2 2" xfId="4659" xr:uid="{00000000-0005-0000-0000-0000120F0000}"/>
    <cellStyle name="Normal 22 2 3 2 2 2 3" xfId="2814" xr:uid="{00000000-0005-0000-0000-0000130F0000}"/>
    <cellStyle name="Normal 22 2 3 2 2 2 3 2" xfId="5551" xr:uid="{00000000-0005-0000-0000-0000140F0000}"/>
    <cellStyle name="Normal 22 2 3 2 2 2 4" xfId="3712" xr:uid="{00000000-0005-0000-0000-0000150F0000}"/>
    <cellStyle name="Normal 22 2 3 2 2 3" xfId="1475" xr:uid="{00000000-0005-0000-0000-0000160F0000}"/>
    <cellStyle name="Normal 22 2 3 2 2 3 2" xfId="4212" xr:uid="{00000000-0005-0000-0000-0000170F0000}"/>
    <cellStyle name="Normal 22 2 3 2 2 4" xfId="2367" xr:uid="{00000000-0005-0000-0000-0000180F0000}"/>
    <cellStyle name="Normal 22 2 3 2 2 4 2" xfId="5104" xr:uid="{00000000-0005-0000-0000-0000190F0000}"/>
    <cellStyle name="Normal 22 2 3 2 2 5" xfId="3265" xr:uid="{00000000-0005-0000-0000-00001A0F0000}"/>
    <cellStyle name="Normal 22 2 3 2 3" xfId="723" xr:uid="{00000000-0005-0000-0000-00001B0F0000}"/>
    <cellStyle name="Normal 22 2 3 2 3 2" xfId="1673" xr:uid="{00000000-0005-0000-0000-00001C0F0000}"/>
    <cellStyle name="Normal 22 2 3 2 3 2 2" xfId="4410" xr:uid="{00000000-0005-0000-0000-00001D0F0000}"/>
    <cellStyle name="Normal 22 2 3 2 3 3" xfId="2565" xr:uid="{00000000-0005-0000-0000-00001E0F0000}"/>
    <cellStyle name="Normal 22 2 3 2 3 3 2" xfId="5302" xr:uid="{00000000-0005-0000-0000-00001F0F0000}"/>
    <cellStyle name="Normal 22 2 3 2 3 4" xfId="3463" xr:uid="{00000000-0005-0000-0000-0000200F0000}"/>
    <cellStyle name="Normal 22 2 3 2 4" xfId="1226" xr:uid="{00000000-0005-0000-0000-0000210F0000}"/>
    <cellStyle name="Normal 22 2 3 2 4 2" xfId="3963" xr:uid="{00000000-0005-0000-0000-0000220F0000}"/>
    <cellStyle name="Normal 22 2 3 2 5" xfId="2118" xr:uid="{00000000-0005-0000-0000-0000230F0000}"/>
    <cellStyle name="Normal 22 2 3 2 5 2" xfId="4855" xr:uid="{00000000-0005-0000-0000-0000240F0000}"/>
    <cellStyle name="Normal 22 2 3 2 6" xfId="3016" xr:uid="{00000000-0005-0000-0000-0000250F0000}"/>
    <cellStyle name="Normal 22 2 3 3" xfId="413" xr:uid="{00000000-0005-0000-0000-0000260F0000}"/>
    <cellStyle name="Normal 22 2 3 3 2" xfId="861" xr:uid="{00000000-0005-0000-0000-0000270F0000}"/>
    <cellStyle name="Normal 22 2 3 3 2 2" xfId="1811" xr:uid="{00000000-0005-0000-0000-0000280F0000}"/>
    <cellStyle name="Normal 22 2 3 3 2 2 2" xfId="4548" xr:uid="{00000000-0005-0000-0000-0000290F0000}"/>
    <cellStyle name="Normal 22 2 3 3 2 3" xfId="2703" xr:uid="{00000000-0005-0000-0000-00002A0F0000}"/>
    <cellStyle name="Normal 22 2 3 3 2 3 2" xfId="5440" xr:uid="{00000000-0005-0000-0000-00002B0F0000}"/>
    <cellStyle name="Normal 22 2 3 3 2 4" xfId="3601" xr:uid="{00000000-0005-0000-0000-00002C0F0000}"/>
    <cellStyle name="Normal 22 2 3 3 3" xfId="1364" xr:uid="{00000000-0005-0000-0000-00002D0F0000}"/>
    <cellStyle name="Normal 22 2 3 3 3 2" xfId="4101" xr:uid="{00000000-0005-0000-0000-00002E0F0000}"/>
    <cellStyle name="Normal 22 2 3 3 4" xfId="2256" xr:uid="{00000000-0005-0000-0000-00002F0F0000}"/>
    <cellStyle name="Normal 22 2 3 3 4 2" xfId="4993" xr:uid="{00000000-0005-0000-0000-0000300F0000}"/>
    <cellStyle name="Normal 22 2 3 3 5" xfId="3154" xr:uid="{00000000-0005-0000-0000-0000310F0000}"/>
    <cellStyle name="Normal 22 2 3 4" xfId="622" xr:uid="{00000000-0005-0000-0000-0000320F0000}"/>
    <cellStyle name="Normal 22 2 3 4 2" xfId="1572" xr:uid="{00000000-0005-0000-0000-0000330F0000}"/>
    <cellStyle name="Normal 22 2 3 4 2 2" xfId="4309" xr:uid="{00000000-0005-0000-0000-0000340F0000}"/>
    <cellStyle name="Normal 22 2 3 4 3" xfId="2464" xr:uid="{00000000-0005-0000-0000-0000350F0000}"/>
    <cellStyle name="Normal 22 2 3 4 3 2" xfId="5201" xr:uid="{00000000-0005-0000-0000-0000360F0000}"/>
    <cellStyle name="Normal 22 2 3 4 4" xfId="3362" xr:uid="{00000000-0005-0000-0000-0000370F0000}"/>
    <cellStyle name="Normal 22 2 3 5" xfId="1115" xr:uid="{00000000-0005-0000-0000-0000380F0000}"/>
    <cellStyle name="Normal 22 2 3 5 2" xfId="3852" xr:uid="{00000000-0005-0000-0000-0000390F0000}"/>
    <cellStyle name="Normal 22 2 3 6" xfId="2007" xr:uid="{00000000-0005-0000-0000-00003A0F0000}"/>
    <cellStyle name="Normal 22 2 3 6 2" xfId="4744" xr:uid="{00000000-0005-0000-0000-00003B0F0000}"/>
    <cellStyle name="Normal 22 2 3 7" xfId="2905" xr:uid="{00000000-0005-0000-0000-00003C0F0000}"/>
    <cellStyle name="Normal 22 2 4" xfId="201" xr:uid="{00000000-0005-0000-0000-00003D0F0000}"/>
    <cellStyle name="Normal 22 2 4 2" xfId="456" xr:uid="{00000000-0005-0000-0000-00003E0F0000}"/>
    <cellStyle name="Normal 22 2 4 2 2" xfId="904" xr:uid="{00000000-0005-0000-0000-00003F0F0000}"/>
    <cellStyle name="Normal 22 2 4 2 2 2" xfId="1854" xr:uid="{00000000-0005-0000-0000-0000400F0000}"/>
    <cellStyle name="Normal 22 2 4 2 2 2 2" xfId="4591" xr:uid="{00000000-0005-0000-0000-0000410F0000}"/>
    <cellStyle name="Normal 22 2 4 2 2 3" xfId="2746" xr:uid="{00000000-0005-0000-0000-0000420F0000}"/>
    <cellStyle name="Normal 22 2 4 2 2 3 2" xfId="5483" xr:uid="{00000000-0005-0000-0000-0000430F0000}"/>
    <cellStyle name="Normal 22 2 4 2 2 4" xfId="3644" xr:uid="{00000000-0005-0000-0000-0000440F0000}"/>
    <cellStyle name="Normal 22 2 4 2 3" xfId="1407" xr:uid="{00000000-0005-0000-0000-0000450F0000}"/>
    <cellStyle name="Normal 22 2 4 2 3 2" xfId="4144" xr:uid="{00000000-0005-0000-0000-0000460F0000}"/>
    <cellStyle name="Normal 22 2 4 2 4" xfId="2299" xr:uid="{00000000-0005-0000-0000-0000470F0000}"/>
    <cellStyle name="Normal 22 2 4 2 4 2" xfId="5036" xr:uid="{00000000-0005-0000-0000-0000480F0000}"/>
    <cellStyle name="Normal 22 2 4 2 5" xfId="3197" xr:uid="{00000000-0005-0000-0000-0000490F0000}"/>
    <cellStyle name="Normal 22 2 4 3" xfId="659" xr:uid="{00000000-0005-0000-0000-00004A0F0000}"/>
    <cellStyle name="Normal 22 2 4 3 2" xfId="1609" xr:uid="{00000000-0005-0000-0000-00004B0F0000}"/>
    <cellStyle name="Normal 22 2 4 3 2 2" xfId="4346" xr:uid="{00000000-0005-0000-0000-00004C0F0000}"/>
    <cellStyle name="Normal 22 2 4 3 3" xfId="2501" xr:uid="{00000000-0005-0000-0000-00004D0F0000}"/>
    <cellStyle name="Normal 22 2 4 3 3 2" xfId="5238" xr:uid="{00000000-0005-0000-0000-00004E0F0000}"/>
    <cellStyle name="Normal 22 2 4 3 4" xfId="3399" xr:uid="{00000000-0005-0000-0000-00004F0F0000}"/>
    <cellStyle name="Normal 22 2 4 4" xfId="1158" xr:uid="{00000000-0005-0000-0000-0000500F0000}"/>
    <cellStyle name="Normal 22 2 4 4 2" xfId="3895" xr:uid="{00000000-0005-0000-0000-0000510F0000}"/>
    <cellStyle name="Normal 22 2 4 5" xfId="2050" xr:uid="{00000000-0005-0000-0000-0000520F0000}"/>
    <cellStyle name="Normal 22 2 4 5 2" xfId="4787" xr:uid="{00000000-0005-0000-0000-0000530F0000}"/>
    <cellStyle name="Normal 22 2 4 6" xfId="2948" xr:uid="{00000000-0005-0000-0000-0000540F0000}"/>
    <cellStyle name="Normal 22 2 5" xfId="229" xr:uid="{00000000-0005-0000-0000-0000550F0000}"/>
    <cellStyle name="Normal 22 2 5 2" xfId="483" xr:uid="{00000000-0005-0000-0000-0000560F0000}"/>
    <cellStyle name="Normal 22 2 5 2 2" xfId="931" xr:uid="{00000000-0005-0000-0000-0000570F0000}"/>
    <cellStyle name="Normal 22 2 5 2 2 2" xfId="1881" xr:uid="{00000000-0005-0000-0000-0000580F0000}"/>
    <cellStyle name="Normal 22 2 5 2 2 2 2" xfId="4618" xr:uid="{00000000-0005-0000-0000-0000590F0000}"/>
    <cellStyle name="Normal 22 2 5 2 2 3" xfId="2773" xr:uid="{00000000-0005-0000-0000-00005A0F0000}"/>
    <cellStyle name="Normal 22 2 5 2 2 3 2" xfId="5510" xr:uid="{00000000-0005-0000-0000-00005B0F0000}"/>
    <cellStyle name="Normal 22 2 5 2 2 4" xfId="3671" xr:uid="{00000000-0005-0000-0000-00005C0F0000}"/>
    <cellStyle name="Normal 22 2 5 2 3" xfId="1434" xr:uid="{00000000-0005-0000-0000-00005D0F0000}"/>
    <cellStyle name="Normal 22 2 5 2 3 2" xfId="4171" xr:uid="{00000000-0005-0000-0000-00005E0F0000}"/>
    <cellStyle name="Normal 22 2 5 2 4" xfId="2326" xr:uid="{00000000-0005-0000-0000-00005F0F0000}"/>
    <cellStyle name="Normal 22 2 5 2 4 2" xfId="5063" xr:uid="{00000000-0005-0000-0000-0000600F0000}"/>
    <cellStyle name="Normal 22 2 5 2 5" xfId="3224" xr:uid="{00000000-0005-0000-0000-0000610F0000}"/>
    <cellStyle name="Normal 22 2 5 3" xfId="682" xr:uid="{00000000-0005-0000-0000-0000620F0000}"/>
    <cellStyle name="Normal 22 2 5 3 2" xfId="1632" xr:uid="{00000000-0005-0000-0000-0000630F0000}"/>
    <cellStyle name="Normal 22 2 5 3 2 2" xfId="4369" xr:uid="{00000000-0005-0000-0000-0000640F0000}"/>
    <cellStyle name="Normal 22 2 5 3 3" xfId="2524" xr:uid="{00000000-0005-0000-0000-0000650F0000}"/>
    <cellStyle name="Normal 22 2 5 3 3 2" xfId="5261" xr:uid="{00000000-0005-0000-0000-0000660F0000}"/>
    <cellStyle name="Normal 22 2 5 3 4" xfId="3422" xr:uid="{00000000-0005-0000-0000-0000670F0000}"/>
    <cellStyle name="Normal 22 2 5 4" xfId="1185" xr:uid="{00000000-0005-0000-0000-0000680F0000}"/>
    <cellStyle name="Normal 22 2 5 4 2" xfId="3922" xr:uid="{00000000-0005-0000-0000-0000690F0000}"/>
    <cellStyle name="Normal 22 2 5 5" xfId="2077" xr:uid="{00000000-0005-0000-0000-00006A0F0000}"/>
    <cellStyle name="Normal 22 2 5 5 2" xfId="4814" xr:uid="{00000000-0005-0000-0000-00006B0F0000}"/>
    <cellStyle name="Normal 22 2 5 6" xfId="2975" xr:uid="{00000000-0005-0000-0000-00006C0F0000}"/>
    <cellStyle name="Normal 22 2 6" xfId="313" xr:uid="{00000000-0005-0000-0000-00006D0F0000}"/>
    <cellStyle name="Normal 22 2 6 2" xfId="766" xr:uid="{00000000-0005-0000-0000-00006E0F0000}"/>
    <cellStyle name="Normal 22 2 6 2 2" xfId="1716" xr:uid="{00000000-0005-0000-0000-00006F0F0000}"/>
    <cellStyle name="Normal 22 2 6 2 2 2" xfId="4453" xr:uid="{00000000-0005-0000-0000-0000700F0000}"/>
    <cellStyle name="Normal 22 2 6 2 3" xfId="2608" xr:uid="{00000000-0005-0000-0000-0000710F0000}"/>
    <cellStyle name="Normal 22 2 6 2 3 2" xfId="5345" xr:uid="{00000000-0005-0000-0000-0000720F0000}"/>
    <cellStyle name="Normal 22 2 6 2 4" xfId="3506" xr:uid="{00000000-0005-0000-0000-0000730F0000}"/>
    <cellStyle name="Normal 22 2 6 3" xfId="1269" xr:uid="{00000000-0005-0000-0000-0000740F0000}"/>
    <cellStyle name="Normal 22 2 6 3 2" xfId="4006" xr:uid="{00000000-0005-0000-0000-0000750F0000}"/>
    <cellStyle name="Normal 22 2 6 4" xfId="2161" xr:uid="{00000000-0005-0000-0000-0000760F0000}"/>
    <cellStyle name="Normal 22 2 6 4 2" xfId="4898" xr:uid="{00000000-0005-0000-0000-0000770F0000}"/>
    <cellStyle name="Normal 22 2 6 5" xfId="3059" xr:uid="{00000000-0005-0000-0000-0000780F0000}"/>
    <cellStyle name="Normal 22 2 7" xfId="372" xr:uid="{00000000-0005-0000-0000-0000790F0000}"/>
    <cellStyle name="Normal 22 2 7 2" xfId="820" xr:uid="{00000000-0005-0000-0000-00007A0F0000}"/>
    <cellStyle name="Normal 22 2 7 2 2" xfId="1770" xr:uid="{00000000-0005-0000-0000-00007B0F0000}"/>
    <cellStyle name="Normal 22 2 7 2 2 2" xfId="4507" xr:uid="{00000000-0005-0000-0000-00007C0F0000}"/>
    <cellStyle name="Normal 22 2 7 2 3" xfId="2662" xr:uid="{00000000-0005-0000-0000-00007D0F0000}"/>
    <cellStyle name="Normal 22 2 7 2 3 2" xfId="5399" xr:uid="{00000000-0005-0000-0000-00007E0F0000}"/>
    <cellStyle name="Normal 22 2 7 2 4" xfId="3560" xr:uid="{00000000-0005-0000-0000-00007F0F0000}"/>
    <cellStyle name="Normal 22 2 7 3" xfId="1323" xr:uid="{00000000-0005-0000-0000-0000800F0000}"/>
    <cellStyle name="Normal 22 2 7 3 2" xfId="4060" xr:uid="{00000000-0005-0000-0000-0000810F0000}"/>
    <cellStyle name="Normal 22 2 7 4" xfId="2215" xr:uid="{00000000-0005-0000-0000-0000820F0000}"/>
    <cellStyle name="Normal 22 2 7 4 2" xfId="4952" xr:uid="{00000000-0005-0000-0000-0000830F0000}"/>
    <cellStyle name="Normal 22 2 7 5" xfId="3113" xr:uid="{00000000-0005-0000-0000-0000840F0000}"/>
    <cellStyle name="Normal 22 2 8" xfId="567" xr:uid="{00000000-0005-0000-0000-0000850F0000}"/>
    <cellStyle name="Normal 22 2 8 2" xfId="1518" xr:uid="{00000000-0005-0000-0000-0000860F0000}"/>
    <cellStyle name="Normal 22 2 8 2 2" xfId="4255" xr:uid="{00000000-0005-0000-0000-0000870F0000}"/>
    <cellStyle name="Normal 22 2 8 3" xfId="2410" xr:uid="{00000000-0005-0000-0000-0000880F0000}"/>
    <cellStyle name="Normal 22 2 8 3 2" xfId="5147" xr:uid="{00000000-0005-0000-0000-0000890F0000}"/>
    <cellStyle name="Normal 22 2 8 4" xfId="3308" xr:uid="{00000000-0005-0000-0000-00008A0F0000}"/>
    <cellStyle name="Normal 22 2 9" xfId="1015" xr:uid="{00000000-0005-0000-0000-00008B0F0000}"/>
    <cellStyle name="Normal 22 2 9 2" xfId="3755" xr:uid="{00000000-0005-0000-0000-00008C0F0000}"/>
    <cellStyle name="Normal 22 3" xfId="130" xr:uid="{00000000-0005-0000-0000-00008D0F0000}"/>
    <cellStyle name="Normal 22 3 10" xfId="2881" xr:uid="{00000000-0005-0000-0000-00008E0F0000}"/>
    <cellStyle name="Normal 22 3 2" xfId="174" xr:uid="{00000000-0005-0000-0000-00008F0F0000}"/>
    <cellStyle name="Normal 22 3 2 2" xfId="287" xr:uid="{00000000-0005-0000-0000-0000900F0000}"/>
    <cellStyle name="Normal 22 3 2 2 2" xfId="541" xr:uid="{00000000-0005-0000-0000-0000910F0000}"/>
    <cellStyle name="Normal 22 3 2 2 2 2" xfId="989" xr:uid="{00000000-0005-0000-0000-0000920F0000}"/>
    <cellStyle name="Normal 22 3 2 2 2 2 2" xfId="1939" xr:uid="{00000000-0005-0000-0000-0000930F0000}"/>
    <cellStyle name="Normal 22 3 2 2 2 2 2 2" xfId="4676" xr:uid="{00000000-0005-0000-0000-0000940F0000}"/>
    <cellStyle name="Normal 22 3 2 2 2 2 3" xfId="2831" xr:uid="{00000000-0005-0000-0000-0000950F0000}"/>
    <cellStyle name="Normal 22 3 2 2 2 2 3 2" xfId="5568" xr:uid="{00000000-0005-0000-0000-0000960F0000}"/>
    <cellStyle name="Normal 22 3 2 2 2 2 4" xfId="3729" xr:uid="{00000000-0005-0000-0000-0000970F0000}"/>
    <cellStyle name="Normal 22 3 2 2 2 3" xfId="1492" xr:uid="{00000000-0005-0000-0000-0000980F0000}"/>
    <cellStyle name="Normal 22 3 2 2 2 3 2" xfId="4229" xr:uid="{00000000-0005-0000-0000-0000990F0000}"/>
    <cellStyle name="Normal 22 3 2 2 2 4" xfId="2384" xr:uid="{00000000-0005-0000-0000-00009A0F0000}"/>
    <cellStyle name="Normal 22 3 2 2 2 4 2" xfId="5121" xr:uid="{00000000-0005-0000-0000-00009B0F0000}"/>
    <cellStyle name="Normal 22 3 2 2 2 5" xfId="3282" xr:uid="{00000000-0005-0000-0000-00009C0F0000}"/>
    <cellStyle name="Normal 22 3 2 2 3" xfId="740" xr:uid="{00000000-0005-0000-0000-00009D0F0000}"/>
    <cellStyle name="Normal 22 3 2 2 3 2" xfId="1690" xr:uid="{00000000-0005-0000-0000-00009E0F0000}"/>
    <cellStyle name="Normal 22 3 2 2 3 2 2" xfId="4427" xr:uid="{00000000-0005-0000-0000-00009F0F0000}"/>
    <cellStyle name="Normal 22 3 2 2 3 3" xfId="2582" xr:uid="{00000000-0005-0000-0000-0000A00F0000}"/>
    <cellStyle name="Normal 22 3 2 2 3 3 2" xfId="5319" xr:uid="{00000000-0005-0000-0000-0000A10F0000}"/>
    <cellStyle name="Normal 22 3 2 2 3 4" xfId="3480" xr:uid="{00000000-0005-0000-0000-0000A20F0000}"/>
    <cellStyle name="Normal 22 3 2 2 4" xfId="1243" xr:uid="{00000000-0005-0000-0000-0000A30F0000}"/>
    <cellStyle name="Normal 22 3 2 2 4 2" xfId="3980" xr:uid="{00000000-0005-0000-0000-0000A40F0000}"/>
    <cellStyle name="Normal 22 3 2 2 5" xfId="2135" xr:uid="{00000000-0005-0000-0000-0000A50F0000}"/>
    <cellStyle name="Normal 22 3 2 2 5 2" xfId="4872" xr:uid="{00000000-0005-0000-0000-0000A60F0000}"/>
    <cellStyle name="Normal 22 3 2 2 6" xfId="3033" xr:uid="{00000000-0005-0000-0000-0000A70F0000}"/>
    <cellStyle name="Normal 22 3 2 3" xfId="430" xr:uid="{00000000-0005-0000-0000-0000A80F0000}"/>
    <cellStyle name="Normal 22 3 2 3 2" xfId="878" xr:uid="{00000000-0005-0000-0000-0000A90F0000}"/>
    <cellStyle name="Normal 22 3 2 3 2 2" xfId="1828" xr:uid="{00000000-0005-0000-0000-0000AA0F0000}"/>
    <cellStyle name="Normal 22 3 2 3 2 2 2" xfId="4565" xr:uid="{00000000-0005-0000-0000-0000AB0F0000}"/>
    <cellStyle name="Normal 22 3 2 3 2 3" xfId="2720" xr:uid="{00000000-0005-0000-0000-0000AC0F0000}"/>
    <cellStyle name="Normal 22 3 2 3 2 3 2" xfId="5457" xr:uid="{00000000-0005-0000-0000-0000AD0F0000}"/>
    <cellStyle name="Normal 22 3 2 3 2 4" xfId="3618" xr:uid="{00000000-0005-0000-0000-0000AE0F0000}"/>
    <cellStyle name="Normal 22 3 2 3 3" xfId="1381" xr:uid="{00000000-0005-0000-0000-0000AF0F0000}"/>
    <cellStyle name="Normal 22 3 2 3 3 2" xfId="4118" xr:uid="{00000000-0005-0000-0000-0000B00F0000}"/>
    <cellStyle name="Normal 22 3 2 3 4" xfId="2273" xr:uid="{00000000-0005-0000-0000-0000B10F0000}"/>
    <cellStyle name="Normal 22 3 2 3 4 2" xfId="5010" xr:uid="{00000000-0005-0000-0000-0000B20F0000}"/>
    <cellStyle name="Normal 22 3 2 3 5" xfId="3171" xr:uid="{00000000-0005-0000-0000-0000B30F0000}"/>
    <cellStyle name="Normal 22 3 2 4" xfId="639" xr:uid="{00000000-0005-0000-0000-0000B40F0000}"/>
    <cellStyle name="Normal 22 3 2 4 2" xfId="1589" xr:uid="{00000000-0005-0000-0000-0000B50F0000}"/>
    <cellStyle name="Normal 22 3 2 4 2 2" xfId="4326" xr:uid="{00000000-0005-0000-0000-0000B60F0000}"/>
    <cellStyle name="Normal 22 3 2 4 3" xfId="2481" xr:uid="{00000000-0005-0000-0000-0000B70F0000}"/>
    <cellStyle name="Normal 22 3 2 4 3 2" xfId="5218" xr:uid="{00000000-0005-0000-0000-0000B80F0000}"/>
    <cellStyle name="Normal 22 3 2 4 4" xfId="3379" xr:uid="{00000000-0005-0000-0000-0000B90F0000}"/>
    <cellStyle name="Normal 22 3 2 5" xfId="1132" xr:uid="{00000000-0005-0000-0000-0000BA0F0000}"/>
    <cellStyle name="Normal 22 3 2 5 2" xfId="3869" xr:uid="{00000000-0005-0000-0000-0000BB0F0000}"/>
    <cellStyle name="Normal 22 3 2 6" xfId="2024" xr:uid="{00000000-0005-0000-0000-0000BC0F0000}"/>
    <cellStyle name="Normal 22 3 2 6 2" xfId="4761" xr:uid="{00000000-0005-0000-0000-0000BD0F0000}"/>
    <cellStyle name="Normal 22 3 2 7" xfId="2922" xr:uid="{00000000-0005-0000-0000-0000BE0F0000}"/>
    <cellStyle name="Normal 22 3 3" xfId="246" xr:uid="{00000000-0005-0000-0000-0000BF0F0000}"/>
    <cellStyle name="Normal 22 3 3 2" xfId="500" xr:uid="{00000000-0005-0000-0000-0000C00F0000}"/>
    <cellStyle name="Normal 22 3 3 2 2" xfId="948" xr:uid="{00000000-0005-0000-0000-0000C10F0000}"/>
    <cellStyle name="Normal 22 3 3 2 2 2" xfId="1898" xr:uid="{00000000-0005-0000-0000-0000C20F0000}"/>
    <cellStyle name="Normal 22 3 3 2 2 2 2" xfId="4635" xr:uid="{00000000-0005-0000-0000-0000C30F0000}"/>
    <cellStyle name="Normal 22 3 3 2 2 3" xfId="2790" xr:uid="{00000000-0005-0000-0000-0000C40F0000}"/>
    <cellStyle name="Normal 22 3 3 2 2 3 2" xfId="5527" xr:uid="{00000000-0005-0000-0000-0000C50F0000}"/>
    <cellStyle name="Normal 22 3 3 2 2 4" xfId="3688" xr:uid="{00000000-0005-0000-0000-0000C60F0000}"/>
    <cellStyle name="Normal 22 3 3 2 3" xfId="1451" xr:uid="{00000000-0005-0000-0000-0000C70F0000}"/>
    <cellStyle name="Normal 22 3 3 2 3 2" xfId="4188" xr:uid="{00000000-0005-0000-0000-0000C80F0000}"/>
    <cellStyle name="Normal 22 3 3 2 4" xfId="2343" xr:uid="{00000000-0005-0000-0000-0000C90F0000}"/>
    <cellStyle name="Normal 22 3 3 2 4 2" xfId="5080" xr:uid="{00000000-0005-0000-0000-0000CA0F0000}"/>
    <cellStyle name="Normal 22 3 3 2 5" xfId="3241" xr:uid="{00000000-0005-0000-0000-0000CB0F0000}"/>
    <cellStyle name="Normal 22 3 3 3" xfId="699" xr:uid="{00000000-0005-0000-0000-0000CC0F0000}"/>
    <cellStyle name="Normal 22 3 3 3 2" xfId="1649" xr:uid="{00000000-0005-0000-0000-0000CD0F0000}"/>
    <cellStyle name="Normal 22 3 3 3 2 2" xfId="4386" xr:uid="{00000000-0005-0000-0000-0000CE0F0000}"/>
    <cellStyle name="Normal 22 3 3 3 3" xfId="2541" xr:uid="{00000000-0005-0000-0000-0000CF0F0000}"/>
    <cellStyle name="Normal 22 3 3 3 3 2" xfId="5278" xr:uid="{00000000-0005-0000-0000-0000D00F0000}"/>
    <cellStyle name="Normal 22 3 3 3 4" xfId="3439" xr:uid="{00000000-0005-0000-0000-0000D10F0000}"/>
    <cellStyle name="Normal 22 3 3 4" xfId="1202" xr:uid="{00000000-0005-0000-0000-0000D20F0000}"/>
    <cellStyle name="Normal 22 3 3 4 2" xfId="3939" xr:uid="{00000000-0005-0000-0000-0000D30F0000}"/>
    <cellStyle name="Normal 22 3 3 5" xfId="2094" xr:uid="{00000000-0005-0000-0000-0000D40F0000}"/>
    <cellStyle name="Normal 22 3 3 5 2" xfId="4831" xr:uid="{00000000-0005-0000-0000-0000D50F0000}"/>
    <cellStyle name="Normal 22 3 3 6" xfId="2992" xr:uid="{00000000-0005-0000-0000-0000D60F0000}"/>
    <cellStyle name="Normal 22 3 4" xfId="339" xr:uid="{00000000-0005-0000-0000-0000D70F0000}"/>
    <cellStyle name="Normal 22 3 4 2" xfId="792" xr:uid="{00000000-0005-0000-0000-0000D80F0000}"/>
    <cellStyle name="Normal 22 3 4 2 2" xfId="1742" xr:uid="{00000000-0005-0000-0000-0000D90F0000}"/>
    <cellStyle name="Normal 22 3 4 2 2 2" xfId="4479" xr:uid="{00000000-0005-0000-0000-0000DA0F0000}"/>
    <cellStyle name="Normal 22 3 4 2 3" xfId="2634" xr:uid="{00000000-0005-0000-0000-0000DB0F0000}"/>
    <cellStyle name="Normal 22 3 4 2 3 2" xfId="5371" xr:uid="{00000000-0005-0000-0000-0000DC0F0000}"/>
    <cellStyle name="Normal 22 3 4 2 4" xfId="3532" xr:uid="{00000000-0005-0000-0000-0000DD0F0000}"/>
    <cellStyle name="Normal 22 3 4 3" xfId="1295" xr:uid="{00000000-0005-0000-0000-0000DE0F0000}"/>
    <cellStyle name="Normal 22 3 4 3 2" xfId="4032" xr:uid="{00000000-0005-0000-0000-0000DF0F0000}"/>
    <cellStyle name="Normal 22 3 4 4" xfId="2187" xr:uid="{00000000-0005-0000-0000-0000E00F0000}"/>
    <cellStyle name="Normal 22 3 4 4 2" xfId="4924" xr:uid="{00000000-0005-0000-0000-0000E10F0000}"/>
    <cellStyle name="Normal 22 3 4 5" xfId="3085" xr:uid="{00000000-0005-0000-0000-0000E20F0000}"/>
    <cellStyle name="Normal 22 3 5" xfId="389" xr:uid="{00000000-0005-0000-0000-0000E30F0000}"/>
    <cellStyle name="Normal 22 3 5 2" xfId="837" xr:uid="{00000000-0005-0000-0000-0000E40F0000}"/>
    <cellStyle name="Normal 22 3 5 2 2" xfId="1787" xr:uid="{00000000-0005-0000-0000-0000E50F0000}"/>
    <cellStyle name="Normal 22 3 5 2 2 2" xfId="4524" xr:uid="{00000000-0005-0000-0000-0000E60F0000}"/>
    <cellStyle name="Normal 22 3 5 2 3" xfId="2679" xr:uid="{00000000-0005-0000-0000-0000E70F0000}"/>
    <cellStyle name="Normal 22 3 5 2 3 2" xfId="5416" xr:uid="{00000000-0005-0000-0000-0000E80F0000}"/>
    <cellStyle name="Normal 22 3 5 2 4" xfId="3577" xr:uid="{00000000-0005-0000-0000-0000E90F0000}"/>
    <cellStyle name="Normal 22 3 5 3" xfId="1340" xr:uid="{00000000-0005-0000-0000-0000EA0F0000}"/>
    <cellStyle name="Normal 22 3 5 3 2" xfId="4077" xr:uid="{00000000-0005-0000-0000-0000EB0F0000}"/>
    <cellStyle name="Normal 22 3 5 4" xfId="2232" xr:uid="{00000000-0005-0000-0000-0000EC0F0000}"/>
    <cellStyle name="Normal 22 3 5 4 2" xfId="4969" xr:uid="{00000000-0005-0000-0000-0000ED0F0000}"/>
    <cellStyle name="Normal 22 3 5 5" xfId="3130" xr:uid="{00000000-0005-0000-0000-0000EE0F0000}"/>
    <cellStyle name="Normal 22 3 6" xfId="594" xr:uid="{00000000-0005-0000-0000-0000EF0F0000}"/>
    <cellStyle name="Normal 22 3 6 2" xfId="1544" xr:uid="{00000000-0005-0000-0000-0000F00F0000}"/>
    <cellStyle name="Normal 22 3 6 2 2" xfId="4281" xr:uid="{00000000-0005-0000-0000-0000F10F0000}"/>
    <cellStyle name="Normal 22 3 6 3" xfId="2436" xr:uid="{00000000-0005-0000-0000-0000F20F0000}"/>
    <cellStyle name="Normal 22 3 6 3 2" xfId="5173" xr:uid="{00000000-0005-0000-0000-0000F30F0000}"/>
    <cellStyle name="Normal 22 3 6 4" xfId="3334" xr:uid="{00000000-0005-0000-0000-0000F40F0000}"/>
    <cellStyle name="Normal 22 3 7" xfId="1042" xr:uid="{00000000-0005-0000-0000-0000F50F0000}"/>
    <cellStyle name="Normal 22 3 7 2" xfId="3781" xr:uid="{00000000-0005-0000-0000-0000F60F0000}"/>
    <cellStyle name="Normal 22 3 8" xfId="1091" xr:uid="{00000000-0005-0000-0000-0000F70F0000}"/>
    <cellStyle name="Normal 22 3 8 2" xfId="3828" xr:uid="{00000000-0005-0000-0000-0000F80F0000}"/>
    <cellStyle name="Normal 22 3 9" xfId="1983" xr:uid="{00000000-0005-0000-0000-0000F90F0000}"/>
    <cellStyle name="Normal 22 3 9 2" xfId="4720" xr:uid="{00000000-0005-0000-0000-0000FA0F0000}"/>
    <cellStyle name="Normal 22 4" xfId="151" xr:uid="{00000000-0005-0000-0000-0000FB0F0000}"/>
    <cellStyle name="Normal 22 4 2" xfId="264" xr:uid="{00000000-0005-0000-0000-0000FC0F0000}"/>
    <cellStyle name="Normal 22 4 2 2" xfId="518" xr:uid="{00000000-0005-0000-0000-0000FD0F0000}"/>
    <cellStyle name="Normal 22 4 2 2 2" xfId="966" xr:uid="{00000000-0005-0000-0000-0000FE0F0000}"/>
    <cellStyle name="Normal 22 4 2 2 2 2" xfId="1916" xr:uid="{00000000-0005-0000-0000-0000FF0F0000}"/>
    <cellStyle name="Normal 22 4 2 2 2 2 2" xfId="4653" xr:uid="{00000000-0005-0000-0000-000000100000}"/>
    <cellStyle name="Normal 22 4 2 2 2 3" xfId="2808" xr:uid="{00000000-0005-0000-0000-000001100000}"/>
    <cellStyle name="Normal 22 4 2 2 2 3 2" xfId="5545" xr:uid="{00000000-0005-0000-0000-000002100000}"/>
    <cellStyle name="Normal 22 4 2 2 2 4" xfId="3706" xr:uid="{00000000-0005-0000-0000-000003100000}"/>
    <cellStyle name="Normal 22 4 2 2 3" xfId="1469" xr:uid="{00000000-0005-0000-0000-000004100000}"/>
    <cellStyle name="Normal 22 4 2 2 3 2" xfId="4206" xr:uid="{00000000-0005-0000-0000-000005100000}"/>
    <cellStyle name="Normal 22 4 2 2 4" xfId="2361" xr:uid="{00000000-0005-0000-0000-000006100000}"/>
    <cellStyle name="Normal 22 4 2 2 4 2" xfId="5098" xr:uid="{00000000-0005-0000-0000-000007100000}"/>
    <cellStyle name="Normal 22 4 2 2 5" xfId="3259" xr:uid="{00000000-0005-0000-0000-000008100000}"/>
    <cellStyle name="Normal 22 4 2 3" xfId="717" xr:uid="{00000000-0005-0000-0000-000009100000}"/>
    <cellStyle name="Normal 22 4 2 3 2" xfId="1667" xr:uid="{00000000-0005-0000-0000-00000A100000}"/>
    <cellStyle name="Normal 22 4 2 3 2 2" xfId="4404" xr:uid="{00000000-0005-0000-0000-00000B100000}"/>
    <cellStyle name="Normal 22 4 2 3 3" xfId="2559" xr:uid="{00000000-0005-0000-0000-00000C100000}"/>
    <cellStyle name="Normal 22 4 2 3 3 2" xfId="5296" xr:uid="{00000000-0005-0000-0000-00000D100000}"/>
    <cellStyle name="Normal 22 4 2 3 4" xfId="3457" xr:uid="{00000000-0005-0000-0000-00000E100000}"/>
    <cellStyle name="Normal 22 4 2 4" xfId="1220" xr:uid="{00000000-0005-0000-0000-00000F100000}"/>
    <cellStyle name="Normal 22 4 2 4 2" xfId="3957" xr:uid="{00000000-0005-0000-0000-000010100000}"/>
    <cellStyle name="Normal 22 4 2 5" xfId="2112" xr:uid="{00000000-0005-0000-0000-000011100000}"/>
    <cellStyle name="Normal 22 4 2 5 2" xfId="4849" xr:uid="{00000000-0005-0000-0000-000012100000}"/>
    <cellStyle name="Normal 22 4 2 6" xfId="3010" xr:uid="{00000000-0005-0000-0000-000013100000}"/>
    <cellStyle name="Normal 22 4 3" xfId="407" xr:uid="{00000000-0005-0000-0000-000014100000}"/>
    <cellStyle name="Normal 22 4 3 2" xfId="855" xr:uid="{00000000-0005-0000-0000-000015100000}"/>
    <cellStyle name="Normal 22 4 3 2 2" xfId="1805" xr:uid="{00000000-0005-0000-0000-000016100000}"/>
    <cellStyle name="Normal 22 4 3 2 2 2" xfId="4542" xr:uid="{00000000-0005-0000-0000-000017100000}"/>
    <cellStyle name="Normal 22 4 3 2 3" xfId="2697" xr:uid="{00000000-0005-0000-0000-000018100000}"/>
    <cellStyle name="Normal 22 4 3 2 3 2" xfId="5434" xr:uid="{00000000-0005-0000-0000-000019100000}"/>
    <cellStyle name="Normal 22 4 3 2 4" xfId="3595" xr:uid="{00000000-0005-0000-0000-00001A100000}"/>
    <cellStyle name="Normal 22 4 3 3" xfId="1358" xr:uid="{00000000-0005-0000-0000-00001B100000}"/>
    <cellStyle name="Normal 22 4 3 3 2" xfId="4095" xr:uid="{00000000-0005-0000-0000-00001C100000}"/>
    <cellStyle name="Normal 22 4 3 4" xfId="2250" xr:uid="{00000000-0005-0000-0000-00001D100000}"/>
    <cellStyle name="Normal 22 4 3 4 2" xfId="4987" xr:uid="{00000000-0005-0000-0000-00001E100000}"/>
    <cellStyle name="Normal 22 4 3 5" xfId="3148" xr:uid="{00000000-0005-0000-0000-00001F100000}"/>
    <cellStyle name="Normal 22 4 4" xfId="616" xr:uid="{00000000-0005-0000-0000-000020100000}"/>
    <cellStyle name="Normal 22 4 4 2" xfId="1566" xr:uid="{00000000-0005-0000-0000-000021100000}"/>
    <cellStyle name="Normal 22 4 4 2 2" xfId="4303" xr:uid="{00000000-0005-0000-0000-000022100000}"/>
    <cellStyle name="Normal 22 4 4 3" xfId="2458" xr:uid="{00000000-0005-0000-0000-000023100000}"/>
    <cellStyle name="Normal 22 4 4 3 2" xfId="5195" xr:uid="{00000000-0005-0000-0000-000024100000}"/>
    <cellStyle name="Normal 22 4 4 4" xfId="3356" xr:uid="{00000000-0005-0000-0000-000025100000}"/>
    <cellStyle name="Normal 22 4 5" xfId="1109" xr:uid="{00000000-0005-0000-0000-000026100000}"/>
    <cellStyle name="Normal 22 4 5 2" xfId="3846" xr:uid="{00000000-0005-0000-0000-000027100000}"/>
    <cellStyle name="Normal 22 4 6" xfId="2001" xr:uid="{00000000-0005-0000-0000-000028100000}"/>
    <cellStyle name="Normal 22 4 6 2" xfId="4738" xr:uid="{00000000-0005-0000-0000-000029100000}"/>
    <cellStyle name="Normal 22 4 7" xfId="2899" xr:uid="{00000000-0005-0000-0000-00002A100000}"/>
    <cellStyle name="Normal 22 5" xfId="200" xr:uid="{00000000-0005-0000-0000-00002B100000}"/>
    <cellStyle name="Normal 22 5 2" xfId="455" xr:uid="{00000000-0005-0000-0000-00002C100000}"/>
    <cellStyle name="Normal 22 5 2 2" xfId="903" xr:uid="{00000000-0005-0000-0000-00002D100000}"/>
    <cellStyle name="Normal 22 5 2 2 2" xfId="1853" xr:uid="{00000000-0005-0000-0000-00002E100000}"/>
    <cellStyle name="Normal 22 5 2 2 2 2" xfId="4590" xr:uid="{00000000-0005-0000-0000-00002F100000}"/>
    <cellStyle name="Normal 22 5 2 2 3" xfId="2745" xr:uid="{00000000-0005-0000-0000-000030100000}"/>
    <cellStyle name="Normal 22 5 2 2 3 2" xfId="5482" xr:uid="{00000000-0005-0000-0000-000031100000}"/>
    <cellStyle name="Normal 22 5 2 2 4" xfId="3643" xr:uid="{00000000-0005-0000-0000-000032100000}"/>
    <cellStyle name="Normal 22 5 2 3" xfId="1406" xr:uid="{00000000-0005-0000-0000-000033100000}"/>
    <cellStyle name="Normal 22 5 2 3 2" xfId="4143" xr:uid="{00000000-0005-0000-0000-000034100000}"/>
    <cellStyle name="Normal 22 5 2 4" xfId="2298" xr:uid="{00000000-0005-0000-0000-000035100000}"/>
    <cellStyle name="Normal 22 5 2 4 2" xfId="5035" xr:uid="{00000000-0005-0000-0000-000036100000}"/>
    <cellStyle name="Normal 22 5 2 5" xfId="3196" xr:uid="{00000000-0005-0000-0000-000037100000}"/>
    <cellStyle name="Normal 22 5 3" xfId="658" xr:uid="{00000000-0005-0000-0000-000038100000}"/>
    <cellStyle name="Normal 22 5 3 2" xfId="1608" xr:uid="{00000000-0005-0000-0000-000039100000}"/>
    <cellStyle name="Normal 22 5 3 2 2" xfId="4345" xr:uid="{00000000-0005-0000-0000-00003A100000}"/>
    <cellStyle name="Normal 22 5 3 3" xfId="2500" xr:uid="{00000000-0005-0000-0000-00003B100000}"/>
    <cellStyle name="Normal 22 5 3 3 2" xfId="5237" xr:uid="{00000000-0005-0000-0000-00003C100000}"/>
    <cellStyle name="Normal 22 5 3 4" xfId="3398" xr:uid="{00000000-0005-0000-0000-00003D100000}"/>
    <cellStyle name="Normal 22 5 4" xfId="1157" xr:uid="{00000000-0005-0000-0000-00003E100000}"/>
    <cellStyle name="Normal 22 5 4 2" xfId="3894" xr:uid="{00000000-0005-0000-0000-00003F100000}"/>
    <cellStyle name="Normal 22 5 5" xfId="2049" xr:uid="{00000000-0005-0000-0000-000040100000}"/>
    <cellStyle name="Normal 22 5 5 2" xfId="4786" xr:uid="{00000000-0005-0000-0000-000041100000}"/>
    <cellStyle name="Normal 22 5 6" xfId="2947" xr:uid="{00000000-0005-0000-0000-000042100000}"/>
    <cellStyle name="Normal 22 6" xfId="223" xr:uid="{00000000-0005-0000-0000-000043100000}"/>
    <cellStyle name="Normal 22 6 2" xfId="477" xr:uid="{00000000-0005-0000-0000-000044100000}"/>
    <cellStyle name="Normal 22 6 2 2" xfId="925" xr:uid="{00000000-0005-0000-0000-000045100000}"/>
    <cellStyle name="Normal 22 6 2 2 2" xfId="1875" xr:uid="{00000000-0005-0000-0000-000046100000}"/>
    <cellStyle name="Normal 22 6 2 2 2 2" xfId="4612" xr:uid="{00000000-0005-0000-0000-000047100000}"/>
    <cellStyle name="Normal 22 6 2 2 3" xfId="2767" xr:uid="{00000000-0005-0000-0000-000048100000}"/>
    <cellStyle name="Normal 22 6 2 2 3 2" xfId="5504" xr:uid="{00000000-0005-0000-0000-000049100000}"/>
    <cellStyle name="Normal 22 6 2 2 4" xfId="3665" xr:uid="{00000000-0005-0000-0000-00004A100000}"/>
    <cellStyle name="Normal 22 6 2 3" xfId="1428" xr:uid="{00000000-0005-0000-0000-00004B100000}"/>
    <cellStyle name="Normal 22 6 2 3 2" xfId="4165" xr:uid="{00000000-0005-0000-0000-00004C100000}"/>
    <cellStyle name="Normal 22 6 2 4" xfId="2320" xr:uid="{00000000-0005-0000-0000-00004D100000}"/>
    <cellStyle name="Normal 22 6 2 4 2" xfId="5057" xr:uid="{00000000-0005-0000-0000-00004E100000}"/>
    <cellStyle name="Normal 22 6 2 5" xfId="3218" xr:uid="{00000000-0005-0000-0000-00004F100000}"/>
    <cellStyle name="Normal 22 6 3" xfId="676" xr:uid="{00000000-0005-0000-0000-000050100000}"/>
    <cellStyle name="Normal 22 6 3 2" xfId="1626" xr:uid="{00000000-0005-0000-0000-000051100000}"/>
    <cellStyle name="Normal 22 6 3 2 2" xfId="4363" xr:uid="{00000000-0005-0000-0000-000052100000}"/>
    <cellStyle name="Normal 22 6 3 3" xfId="2518" xr:uid="{00000000-0005-0000-0000-000053100000}"/>
    <cellStyle name="Normal 22 6 3 3 2" xfId="5255" xr:uid="{00000000-0005-0000-0000-000054100000}"/>
    <cellStyle name="Normal 22 6 3 4" xfId="3416" xr:uid="{00000000-0005-0000-0000-000055100000}"/>
    <cellStyle name="Normal 22 6 4" xfId="1179" xr:uid="{00000000-0005-0000-0000-000056100000}"/>
    <cellStyle name="Normal 22 6 4 2" xfId="3916" xr:uid="{00000000-0005-0000-0000-000057100000}"/>
    <cellStyle name="Normal 22 6 5" xfId="2071" xr:uid="{00000000-0005-0000-0000-000058100000}"/>
    <cellStyle name="Normal 22 6 5 2" xfId="4808" xr:uid="{00000000-0005-0000-0000-000059100000}"/>
    <cellStyle name="Normal 22 6 6" xfId="2969" xr:uid="{00000000-0005-0000-0000-00005A100000}"/>
    <cellStyle name="Normal 22 7" xfId="312" xr:uid="{00000000-0005-0000-0000-00005B100000}"/>
    <cellStyle name="Normal 22 7 2" xfId="765" xr:uid="{00000000-0005-0000-0000-00005C100000}"/>
    <cellStyle name="Normal 22 7 2 2" xfId="1715" xr:uid="{00000000-0005-0000-0000-00005D100000}"/>
    <cellStyle name="Normal 22 7 2 2 2" xfId="4452" xr:uid="{00000000-0005-0000-0000-00005E100000}"/>
    <cellStyle name="Normal 22 7 2 3" xfId="2607" xr:uid="{00000000-0005-0000-0000-00005F100000}"/>
    <cellStyle name="Normal 22 7 2 3 2" xfId="5344" xr:uid="{00000000-0005-0000-0000-000060100000}"/>
    <cellStyle name="Normal 22 7 2 4" xfId="3505" xr:uid="{00000000-0005-0000-0000-000061100000}"/>
    <cellStyle name="Normal 22 7 3" xfId="1268" xr:uid="{00000000-0005-0000-0000-000062100000}"/>
    <cellStyle name="Normal 22 7 3 2" xfId="4005" xr:uid="{00000000-0005-0000-0000-000063100000}"/>
    <cellStyle name="Normal 22 7 4" xfId="2160" xr:uid="{00000000-0005-0000-0000-000064100000}"/>
    <cellStyle name="Normal 22 7 4 2" xfId="4897" xr:uid="{00000000-0005-0000-0000-000065100000}"/>
    <cellStyle name="Normal 22 7 5" xfId="3058" xr:uid="{00000000-0005-0000-0000-000066100000}"/>
    <cellStyle name="Normal 22 8" xfId="366" xr:uid="{00000000-0005-0000-0000-000067100000}"/>
    <cellStyle name="Normal 22 8 2" xfId="814" xr:uid="{00000000-0005-0000-0000-000068100000}"/>
    <cellStyle name="Normal 22 8 2 2" xfId="1764" xr:uid="{00000000-0005-0000-0000-000069100000}"/>
    <cellStyle name="Normal 22 8 2 2 2" xfId="4501" xr:uid="{00000000-0005-0000-0000-00006A100000}"/>
    <cellStyle name="Normal 22 8 2 3" xfId="2656" xr:uid="{00000000-0005-0000-0000-00006B100000}"/>
    <cellStyle name="Normal 22 8 2 3 2" xfId="5393" xr:uid="{00000000-0005-0000-0000-00006C100000}"/>
    <cellStyle name="Normal 22 8 2 4" xfId="3554" xr:uid="{00000000-0005-0000-0000-00006D100000}"/>
    <cellStyle name="Normal 22 8 3" xfId="1317" xr:uid="{00000000-0005-0000-0000-00006E100000}"/>
    <cellStyle name="Normal 22 8 3 2" xfId="4054" xr:uid="{00000000-0005-0000-0000-00006F100000}"/>
    <cellStyle name="Normal 22 8 4" xfId="2209" xr:uid="{00000000-0005-0000-0000-000070100000}"/>
    <cellStyle name="Normal 22 8 4 2" xfId="4946" xr:uid="{00000000-0005-0000-0000-000071100000}"/>
    <cellStyle name="Normal 22 8 5" xfId="3107" xr:uid="{00000000-0005-0000-0000-000072100000}"/>
    <cellStyle name="Normal 22 9" xfId="566" xr:uid="{00000000-0005-0000-0000-000073100000}"/>
    <cellStyle name="Normal 22 9 2" xfId="1517" xr:uid="{00000000-0005-0000-0000-000074100000}"/>
    <cellStyle name="Normal 22 9 2 2" xfId="4254" xr:uid="{00000000-0005-0000-0000-000075100000}"/>
    <cellStyle name="Normal 22 9 3" xfId="2409" xr:uid="{00000000-0005-0000-0000-000076100000}"/>
    <cellStyle name="Normal 22 9 3 2" xfId="5146" xr:uid="{00000000-0005-0000-0000-000077100000}"/>
    <cellStyle name="Normal 22 9 4" xfId="3307" xr:uid="{00000000-0005-0000-0000-000078100000}"/>
    <cellStyle name="Normal 23" xfId="103" xr:uid="{00000000-0005-0000-0000-000079100000}"/>
    <cellStyle name="Normal 23 10" xfId="1016" xr:uid="{00000000-0005-0000-0000-00007A100000}"/>
    <cellStyle name="Normal 23 10 2" xfId="3756" xr:uid="{00000000-0005-0000-0000-00007B100000}"/>
    <cellStyle name="Normal 23 11" xfId="1069" xr:uid="{00000000-0005-0000-0000-00007C100000}"/>
    <cellStyle name="Normal 23 11 2" xfId="3806" xr:uid="{00000000-0005-0000-0000-00007D100000}"/>
    <cellStyle name="Normal 23 12" xfId="1961" xr:uid="{00000000-0005-0000-0000-00007E100000}"/>
    <cellStyle name="Normal 23 12 2" xfId="4698" xr:uid="{00000000-0005-0000-0000-00007F100000}"/>
    <cellStyle name="Normal 23 13" xfId="2859" xr:uid="{00000000-0005-0000-0000-000080100000}"/>
    <cellStyle name="Normal 23 2" xfId="109" xr:uid="{00000000-0005-0000-0000-000081100000}"/>
    <cellStyle name="Normal 23 2 10" xfId="1075" xr:uid="{00000000-0005-0000-0000-000082100000}"/>
    <cellStyle name="Normal 23 2 10 2" xfId="3812" xr:uid="{00000000-0005-0000-0000-000083100000}"/>
    <cellStyle name="Normal 23 2 11" xfId="1967" xr:uid="{00000000-0005-0000-0000-000084100000}"/>
    <cellStyle name="Normal 23 2 11 2" xfId="4704" xr:uid="{00000000-0005-0000-0000-000085100000}"/>
    <cellStyle name="Normal 23 2 12" xfId="2865" xr:uid="{00000000-0005-0000-0000-000086100000}"/>
    <cellStyle name="Normal 23 2 2" xfId="133" xr:uid="{00000000-0005-0000-0000-000087100000}"/>
    <cellStyle name="Normal 23 2 2 10" xfId="2884" xr:uid="{00000000-0005-0000-0000-000088100000}"/>
    <cellStyle name="Normal 23 2 2 2" xfId="177" xr:uid="{00000000-0005-0000-0000-000089100000}"/>
    <cellStyle name="Normal 23 2 2 2 2" xfId="290" xr:uid="{00000000-0005-0000-0000-00008A100000}"/>
    <cellStyle name="Normal 23 2 2 2 2 2" xfId="544" xr:uid="{00000000-0005-0000-0000-00008B100000}"/>
    <cellStyle name="Normal 23 2 2 2 2 2 2" xfId="992" xr:uid="{00000000-0005-0000-0000-00008C100000}"/>
    <cellStyle name="Normal 23 2 2 2 2 2 2 2" xfId="1942" xr:uid="{00000000-0005-0000-0000-00008D100000}"/>
    <cellStyle name="Normal 23 2 2 2 2 2 2 2 2" xfId="4679" xr:uid="{00000000-0005-0000-0000-00008E100000}"/>
    <cellStyle name="Normal 23 2 2 2 2 2 2 3" xfId="2834" xr:uid="{00000000-0005-0000-0000-00008F100000}"/>
    <cellStyle name="Normal 23 2 2 2 2 2 2 3 2" xfId="5571" xr:uid="{00000000-0005-0000-0000-000090100000}"/>
    <cellStyle name="Normal 23 2 2 2 2 2 2 4" xfId="3732" xr:uid="{00000000-0005-0000-0000-000091100000}"/>
    <cellStyle name="Normal 23 2 2 2 2 2 3" xfId="1495" xr:uid="{00000000-0005-0000-0000-000092100000}"/>
    <cellStyle name="Normal 23 2 2 2 2 2 3 2" xfId="4232" xr:uid="{00000000-0005-0000-0000-000093100000}"/>
    <cellStyle name="Normal 23 2 2 2 2 2 4" xfId="2387" xr:uid="{00000000-0005-0000-0000-000094100000}"/>
    <cellStyle name="Normal 23 2 2 2 2 2 4 2" xfId="5124" xr:uid="{00000000-0005-0000-0000-000095100000}"/>
    <cellStyle name="Normal 23 2 2 2 2 2 5" xfId="3285" xr:uid="{00000000-0005-0000-0000-000096100000}"/>
    <cellStyle name="Normal 23 2 2 2 2 3" xfId="743" xr:uid="{00000000-0005-0000-0000-000097100000}"/>
    <cellStyle name="Normal 23 2 2 2 2 3 2" xfId="1693" xr:uid="{00000000-0005-0000-0000-000098100000}"/>
    <cellStyle name="Normal 23 2 2 2 2 3 2 2" xfId="4430" xr:uid="{00000000-0005-0000-0000-000099100000}"/>
    <cellStyle name="Normal 23 2 2 2 2 3 3" xfId="2585" xr:uid="{00000000-0005-0000-0000-00009A100000}"/>
    <cellStyle name="Normal 23 2 2 2 2 3 3 2" xfId="5322" xr:uid="{00000000-0005-0000-0000-00009B100000}"/>
    <cellStyle name="Normal 23 2 2 2 2 3 4" xfId="3483" xr:uid="{00000000-0005-0000-0000-00009C100000}"/>
    <cellStyle name="Normal 23 2 2 2 2 4" xfId="1246" xr:uid="{00000000-0005-0000-0000-00009D100000}"/>
    <cellStyle name="Normal 23 2 2 2 2 4 2" xfId="3983" xr:uid="{00000000-0005-0000-0000-00009E100000}"/>
    <cellStyle name="Normal 23 2 2 2 2 5" xfId="2138" xr:uid="{00000000-0005-0000-0000-00009F100000}"/>
    <cellStyle name="Normal 23 2 2 2 2 5 2" xfId="4875" xr:uid="{00000000-0005-0000-0000-0000A0100000}"/>
    <cellStyle name="Normal 23 2 2 2 2 6" xfId="3036" xr:uid="{00000000-0005-0000-0000-0000A1100000}"/>
    <cellStyle name="Normal 23 2 2 2 3" xfId="433" xr:uid="{00000000-0005-0000-0000-0000A2100000}"/>
    <cellStyle name="Normal 23 2 2 2 3 2" xfId="881" xr:uid="{00000000-0005-0000-0000-0000A3100000}"/>
    <cellStyle name="Normal 23 2 2 2 3 2 2" xfId="1831" xr:uid="{00000000-0005-0000-0000-0000A4100000}"/>
    <cellStyle name="Normal 23 2 2 2 3 2 2 2" xfId="4568" xr:uid="{00000000-0005-0000-0000-0000A5100000}"/>
    <cellStyle name="Normal 23 2 2 2 3 2 3" xfId="2723" xr:uid="{00000000-0005-0000-0000-0000A6100000}"/>
    <cellStyle name="Normal 23 2 2 2 3 2 3 2" xfId="5460" xr:uid="{00000000-0005-0000-0000-0000A7100000}"/>
    <cellStyle name="Normal 23 2 2 2 3 2 4" xfId="3621" xr:uid="{00000000-0005-0000-0000-0000A8100000}"/>
    <cellStyle name="Normal 23 2 2 2 3 3" xfId="1384" xr:uid="{00000000-0005-0000-0000-0000A9100000}"/>
    <cellStyle name="Normal 23 2 2 2 3 3 2" xfId="4121" xr:uid="{00000000-0005-0000-0000-0000AA100000}"/>
    <cellStyle name="Normal 23 2 2 2 3 4" xfId="2276" xr:uid="{00000000-0005-0000-0000-0000AB100000}"/>
    <cellStyle name="Normal 23 2 2 2 3 4 2" xfId="5013" xr:uid="{00000000-0005-0000-0000-0000AC100000}"/>
    <cellStyle name="Normal 23 2 2 2 3 5" xfId="3174" xr:uid="{00000000-0005-0000-0000-0000AD100000}"/>
    <cellStyle name="Normal 23 2 2 2 4" xfId="642" xr:uid="{00000000-0005-0000-0000-0000AE100000}"/>
    <cellStyle name="Normal 23 2 2 2 4 2" xfId="1592" xr:uid="{00000000-0005-0000-0000-0000AF100000}"/>
    <cellStyle name="Normal 23 2 2 2 4 2 2" xfId="4329" xr:uid="{00000000-0005-0000-0000-0000B0100000}"/>
    <cellStyle name="Normal 23 2 2 2 4 3" xfId="2484" xr:uid="{00000000-0005-0000-0000-0000B1100000}"/>
    <cellStyle name="Normal 23 2 2 2 4 3 2" xfId="5221" xr:uid="{00000000-0005-0000-0000-0000B2100000}"/>
    <cellStyle name="Normal 23 2 2 2 4 4" xfId="3382" xr:uid="{00000000-0005-0000-0000-0000B3100000}"/>
    <cellStyle name="Normal 23 2 2 2 5" xfId="1135" xr:uid="{00000000-0005-0000-0000-0000B4100000}"/>
    <cellStyle name="Normal 23 2 2 2 5 2" xfId="3872" xr:uid="{00000000-0005-0000-0000-0000B5100000}"/>
    <cellStyle name="Normal 23 2 2 2 6" xfId="2027" xr:uid="{00000000-0005-0000-0000-0000B6100000}"/>
    <cellStyle name="Normal 23 2 2 2 6 2" xfId="4764" xr:uid="{00000000-0005-0000-0000-0000B7100000}"/>
    <cellStyle name="Normal 23 2 2 2 7" xfId="2925" xr:uid="{00000000-0005-0000-0000-0000B8100000}"/>
    <cellStyle name="Normal 23 2 2 3" xfId="249" xr:uid="{00000000-0005-0000-0000-0000B9100000}"/>
    <cellStyle name="Normal 23 2 2 3 2" xfId="503" xr:uid="{00000000-0005-0000-0000-0000BA100000}"/>
    <cellStyle name="Normal 23 2 2 3 2 2" xfId="951" xr:uid="{00000000-0005-0000-0000-0000BB100000}"/>
    <cellStyle name="Normal 23 2 2 3 2 2 2" xfId="1901" xr:uid="{00000000-0005-0000-0000-0000BC100000}"/>
    <cellStyle name="Normal 23 2 2 3 2 2 2 2" xfId="4638" xr:uid="{00000000-0005-0000-0000-0000BD100000}"/>
    <cellStyle name="Normal 23 2 2 3 2 2 3" xfId="2793" xr:uid="{00000000-0005-0000-0000-0000BE100000}"/>
    <cellStyle name="Normal 23 2 2 3 2 2 3 2" xfId="5530" xr:uid="{00000000-0005-0000-0000-0000BF100000}"/>
    <cellStyle name="Normal 23 2 2 3 2 2 4" xfId="3691" xr:uid="{00000000-0005-0000-0000-0000C0100000}"/>
    <cellStyle name="Normal 23 2 2 3 2 3" xfId="1454" xr:uid="{00000000-0005-0000-0000-0000C1100000}"/>
    <cellStyle name="Normal 23 2 2 3 2 3 2" xfId="4191" xr:uid="{00000000-0005-0000-0000-0000C2100000}"/>
    <cellStyle name="Normal 23 2 2 3 2 4" xfId="2346" xr:uid="{00000000-0005-0000-0000-0000C3100000}"/>
    <cellStyle name="Normal 23 2 2 3 2 4 2" xfId="5083" xr:uid="{00000000-0005-0000-0000-0000C4100000}"/>
    <cellStyle name="Normal 23 2 2 3 2 5" xfId="3244" xr:uid="{00000000-0005-0000-0000-0000C5100000}"/>
    <cellStyle name="Normal 23 2 2 3 3" xfId="702" xr:uid="{00000000-0005-0000-0000-0000C6100000}"/>
    <cellStyle name="Normal 23 2 2 3 3 2" xfId="1652" xr:uid="{00000000-0005-0000-0000-0000C7100000}"/>
    <cellStyle name="Normal 23 2 2 3 3 2 2" xfId="4389" xr:uid="{00000000-0005-0000-0000-0000C8100000}"/>
    <cellStyle name="Normal 23 2 2 3 3 3" xfId="2544" xr:uid="{00000000-0005-0000-0000-0000C9100000}"/>
    <cellStyle name="Normal 23 2 2 3 3 3 2" xfId="5281" xr:uid="{00000000-0005-0000-0000-0000CA100000}"/>
    <cellStyle name="Normal 23 2 2 3 3 4" xfId="3442" xr:uid="{00000000-0005-0000-0000-0000CB100000}"/>
    <cellStyle name="Normal 23 2 2 3 4" xfId="1205" xr:uid="{00000000-0005-0000-0000-0000CC100000}"/>
    <cellStyle name="Normal 23 2 2 3 4 2" xfId="3942" xr:uid="{00000000-0005-0000-0000-0000CD100000}"/>
    <cellStyle name="Normal 23 2 2 3 5" xfId="2097" xr:uid="{00000000-0005-0000-0000-0000CE100000}"/>
    <cellStyle name="Normal 23 2 2 3 5 2" xfId="4834" xr:uid="{00000000-0005-0000-0000-0000CF100000}"/>
    <cellStyle name="Normal 23 2 2 3 6" xfId="2995" xr:uid="{00000000-0005-0000-0000-0000D0100000}"/>
    <cellStyle name="Normal 23 2 2 4" xfId="342" xr:uid="{00000000-0005-0000-0000-0000D1100000}"/>
    <cellStyle name="Normal 23 2 2 4 2" xfId="795" xr:uid="{00000000-0005-0000-0000-0000D2100000}"/>
    <cellStyle name="Normal 23 2 2 4 2 2" xfId="1745" xr:uid="{00000000-0005-0000-0000-0000D3100000}"/>
    <cellStyle name="Normal 23 2 2 4 2 2 2" xfId="4482" xr:uid="{00000000-0005-0000-0000-0000D4100000}"/>
    <cellStyle name="Normal 23 2 2 4 2 3" xfId="2637" xr:uid="{00000000-0005-0000-0000-0000D5100000}"/>
    <cellStyle name="Normal 23 2 2 4 2 3 2" xfId="5374" xr:uid="{00000000-0005-0000-0000-0000D6100000}"/>
    <cellStyle name="Normal 23 2 2 4 2 4" xfId="3535" xr:uid="{00000000-0005-0000-0000-0000D7100000}"/>
    <cellStyle name="Normal 23 2 2 4 3" xfId="1298" xr:uid="{00000000-0005-0000-0000-0000D8100000}"/>
    <cellStyle name="Normal 23 2 2 4 3 2" xfId="4035" xr:uid="{00000000-0005-0000-0000-0000D9100000}"/>
    <cellStyle name="Normal 23 2 2 4 4" xfId="2190" xr:uid="{00000000-0005-0000-0000-0000DA100000}"/>
    <cellStyle name="Normal 23 2 2 4 4 2" xfId="4927" xr:uid="{00000000-0005-0000-0000-0000DB100000}"/>
    <cellStyle name="Normal 23 2 2 4 5" xfId="3088" xr:uid="{00000000-0005-0000-0000-0000DC100000}"/>
    <cellStyle name="Normal 23 2 2 5" xfId="392" xr:uid="{00000000-0005-0000-0000-0000DD100000}"/>
    <cellStyle name="Normal 23 2 2 5 2" xfId="840" xr:uid="{00000000-0005-0000-0000-0000DE100000}"/>
    <cellStyle name="Normal 23 2 2 5 2 2" xfId="1790" xr:uid="{00000000-0005-0000-0000-0000DF100000}"/>
    <cellStyle name="Normal 23 2 2 5 2 2 2" xfId="4527" xr:uid="{00000000-0005-0000-0000-0000E0100000}"/>
    <cellStyle name="Normal 23 2 2 5 2 3" xfId="2682" xr:uid="{00000000-0005-0000-0000-0000E1100000}"/>
    <cellStyle name="Normal 23 2 2 5 2 3 2" xfId="5419" xr:uid="{00000000-0005-0000-0000-0000E2100000}"/>
    <cellStyle name="Normal 23 2 2 5 2 4" xfId="3580" xr:uid="{00000000-0005-0000-0000-0000E3100000}"/>
    <cellStyle name="Normal 23 2 2 5 3" xfId="1343" xr:uid="{00000000-0005-0000-0000-0000E4100000}"/>
    <cellStyle name="Normal 23 2 2 5 3 2" xfId="4080" xr:uid="{00000000-0005-0000-0000-0000E5100000}"/>
    <cellStyle name="Normal 23 2 2 5 4" xfId="2235" xr:uid="{00000000-0005-0000-0000-0000E6100000}"/>
    <cellStyle name="Normal 23 2 2 5 4 2" xfId="4972" xr:uid="{00000000-0005-0000-0000-0000E7100000}"/>
    <cellStyle name="Normal 23 2 2 5 5" xfId="3133" xr:uid="{00000000-0005-0000-0000-0000E8100000}"/>
    <cellStyle name="Normal 23 2 2 6" xfId="597" xr:uid="{00000000-0005-0000-0000-0000E9100000}"/>
    <cellStyle name="Normal 23 2 2 6 2" xfId="1547" xr:uid="{00000000-0005-0000-0000-0000EA100000}"/>
    <cellStyle name="Normal 23 2 2 6 2 2" xfId="4284" xr:uid="{00000000-0005-0000-0000-0000EB100000}"/>
    <cellStyle name="Normal 23 2 2 6 3" xfId="2439" xr:uid="{00000000-0005-0000-0000-0000EC100000}"/>
    <cellStyle name="Normal 23 2 2 6 3 2" xfId="5176" xr:uid="{00000000-0005-0000-0000-0000ED100000}"/>
    <cellStyle name="Normal 23 2 2 6 4" xfId="3337" xr:uid="{00000000-0005-0000-0000-0000EE100000}"/>
    <cellStyle name="Normal 23 2 2 7" xfId="1045" xr:uid="{00000000-0005-0000-0000-0000EF100000}"/>
    <cellStyle name="Normal 23 2 2 7 2" xfId="3784" xr:uid="{00000000-0005-0000-0000-0000F0100000}"/>
    <cellStyle name="Normal 23 2 2 8" xfId="1094" xr:uid="{00000000-0005-0000-0000-0000F1100000}"/>
    <cellStyle name="Normal 23 2 2 8 2" xfId="3831" xr:uid="{00000000-0005-0000-0000-0000F2100000}"/>
    <cellStyle name="Normal 23 2 2 9" xfId="1986" xr:uid="{00000000-0005-0000-0000-0000F3100000}"/>
    <cellStyle name="Normal 23 2 2 9 2" xfId="4723" xr:uid="{00000000-0005-0000-0000-0000F4100000}"/>
    <cellStyle name="Normal 23 2 3" xfId="158" xr:uid="{00000000-0005-0000-0000-0000F5100000}"/>
    <cellStyle name="Normal 23 2 3 2" xfId="271" xr:uid="{00000000-0005-0000-0000-0000F6100000}"/>
    <cellStyle name="Normal 23 2 3 2 2" xfId="525" xr:uid="{00000000-0005-0000-0000-0000F7100000}"/>
    <cellStyle name="Normal 23 2 3 2 2 2" xfId="973" xr:uid="{00000000-0005-0000-0000-0000F8100000}"/>
    <cellStyle name="Normal 23 2 3 2 2 2 2" xfId="1923" xr:uid="{00000000-0005-0000-0000-0000F9100000}"/>
    <cellStyle name="Normal 23 2 3 2 2 2 2 2" xfId="4660" xr:uid="{00000000-0005-0000-0000-0000FA100000}"/>
    <cellStyle name="Normal 23 2 3 2 2 2 3" xfId="2815" xr:uid="{00000000-0005-0000-0000-0000FB100000}"/>
    <cellStyle name="Normal 23 2 3 2 2 2 3 2" xfId="5552" xr:uid="{00000000-0005-0000-0000-0000FC100000}"/>
    <cellStyle name="Normal 23 2 3 2 2 2 4" xfId="3713" xr:uid="{00000000-0005-0000-0000-0000FD100000}"/>
    <cellStyle name="Normal 23 2 3 2 2 3" xfId="1476" xr:uid="{00000000-0005-0000-0000-0000FE100000}"/>
    <cellStyle name="Normal 23 2 3 2 2 3 2" xfId="4213" xr:uid="{00000000-0005-0000-0000-0000FF100000}"/>
    <cellStyle name="Normal 23 2 3 2 2 4" xfId="2368" xr:uid="{00000000-0005-0000-0000-000000110000}"/>
    <cellStyle name="Normal 23 2 3 2 2 4 2" xfId="5105" xr:uid="{00000000-0005-0000-0000-000001110000}"/>
    <cellStyle name="Normal 23 2 3 2 2 5" xfId="3266" xr:uid="{00000000-0005-0000-0000-000002110000}"/>
    <cellStyle name="Normal 23 2 3 2 3" xfId="724" xr:uid="{00000000-0005-0000-0000-000003110000}"/>
    <cellStyle name="Normal 23 2 3 2 3 2" xfId="1674" xr:uid="{00000000-0005-0000-0000-000004110000}"/>
    <cellStyle name="Normal 23 2 3 2 3 2 2" xfId="4411" xr:uid="{00000000-0005-0000-0000-000005110000}"/>
    <cellStyle name="Normal 23 2 3 2 3 3" xfId="2566" xr:uid="{00000000-0005-0000-0000-000006110000}"/>
    <cellStyle name="Normal 23 2 3 2 3 3 2" xfId="5303" xr:uid="{00000000-0005-0000-0000-000007110000}"/>
    <cellStyle name="Normal 23 2 3 2 3 4" xfId="3464" xr:uid="{00000000-0005-0000-0000-000008110000}"/>
    <cellStyle name="Normal 23 2 3 2 4" xfId="1227" xr:uid="{00000000-0005-0000-0000-000009110000}"/>
    <cellStyle name="Normal 23 2 3 2 4 2" xfId="3964" xr:uid="{00000000-0005-0000-0000-00000A110000}"/>
    <cellStyle name="Normal 23 2 3 2 5" xfId="2119" xr:uid="{00000000-0005-0000-0000-00000B110000}"/>
    <cellStyle name="Normal 23 2 3 2 5 2" xfId="4856" xr:uid="{00000000-0005-0000-0000-00000C110000}"/>
    <cellStyle name="Normal 23 2 3 2 6" xfId="3017" xr:uid="{00000000-0005-0000-0000-00000D110000}"/>
    <cellStyle name="Normal 23 2 3 3" xfId="414" xr:uid="{00000000-0005-0000-0000-00000E110000}"/>
    <cellStyle name="Normal 23 2 3 3 2" xfId="862" xr:uid="{00000000-0005-0000-0000-00000F110000}"/>
    <cellStyle name="Normal 23 2 3 3 2 2" xfId="1812" xr:uid="{00000000-0005-0000-0000-000010110000}"/>
    <cellStyle name="Normal 23 2 3 3 2 2 2" xfId="4549" xr:uid="{00000000-0005-0000-0000-000011110000}"/>
    <cellStyle name="Normal 23 2 3 3 2 3" xfId="2704" xr:uid="{00000000-0005-0000-0000-000012110000}"/>
    <cellStyle name="Normal 23 2 3 3 2 3 2" xfId="5441" xr:uid="{00000000-0005-0000-0000-000013110000}"/>
    <cellStyle name="Normal 23 2 3 3 2 4" xfId="3602" xr:uid="{00000000-0005-0000-0000-000014110000}"/>
    <cellStyle name="Normal 23 2 3 3 3" xfId="1365" xr:uid="{00000000-0005-0000-0000-000015110000}"/>
    <cellStyle name="Normal 23 2 3 3 3 2" xfId="4102" xr:uid="{00000000-0005-0000-0000-000016110000}"/>
    <cellStyle name="Normal 23 2 3 3 4" xfId="2257" xr:uid="{00000000-0005-0000-0000-000017110000}"/>
    <cellStyle name="Normal 23 2 3 3 4 2" xfId="4994" xr:uid="{00000000-0005-0000-0000-000018110000}"/>
    <cellStyle name="Normal 23 2 3 3 5" xfId="3155" xr:uid="{00000000-0005-0000-0000-000019110000}"/>
    <cellStyle name="Normal 23 2 3 4" xfId="623" xr:uid="{00000000-0005-0000-0000-00001A110000}"/>
    <cellStyle name="Normal 23 2 3 4 2" xfId="1573" xr:uid="{00000000-0005-0000-0000-00001B110000}"/>
    <cellStyle name="Normal 23 2 3 4 2 2" xfId="4310" xr:uid="{00000000-0005-0000-0000-00001C110000}"/>
    <cellStyle name="Normal 23 2 3 4 3" xfId="2465" xr:uid="{00000000-0005-0000-0000-00001D110000}"/>
    <cellStyle name="Normal 23 2 3 4 3 2" xfId="5202" xr:uid="{00000000-0005-0000-0000-00001E110000}"/>
    <cellStyle name="Normal 23 2 3 4 4" xfId="3363" xr:uid="{00000000-0005-0000-0000-00001F110000}"/>
    <cellStyle name="Normal 23 2 3 5" xfId="1116" xr:uid="{00000000-0005-0000-0000-000020110000}"/>
    <cellStyle name="Normal 23 2 3 5 2" xfId="3853" xr:uid="{00000000-0005-0000-0000-000021110000}"/>
    <cellStyle name="Normal 23 2 3 6" xfId="2008" xr:uid="{00000000-0005-0000-0000-000022110000}"/>
    <cellStyle name="Normal 23 2 3 6 2" xfId="4745" xr:uid="{00000000-0005-0000-0000-000023110000}"/>
    <cellStyle name="Normal 23 2 3 7" xfId="2906" xr:uid="{00000000-0005-0000-0000-000024110000}"/>
    <cellStyle name="Normal 23 2 4" xfId="203" xr:uid="{00000000-0005-0000-0000-000025110000}"/>
    <cellStyle name="Normal 23 2 4 2" xfId="458" xr:uid="{00000000-0005-0000-0000-000026110000}"/>
    <cellStyle name="Normal 23 2 4 2 2" xfId="906" xr:uid="{00000000-0005-0000-0000-000027110000}"/>
    <cellStyle name="Normal 23 2 4 2 2 2" xfId="1856" xr:uid="{00000000-0005-0000-0000-000028110000}"/>
    <cellStyle name="Normal 23 2 4 2 2 2 2" xfId="4593" xr:uid="{00000000-0005-0000-0000-000029110000}"/>
    <cellStyle name="Normal 23 2 4 2 2 3" xfId="2748" xr:uid="{00000000-0005-0000-0000-00002A110000}"/>
    <cellStyle name="Normal 23 2 4 2 2 3 2" xfId="5485" xr:uid="{00000000-0005-0000-0000-00002B110000}"/>
    <cellStyle name="Normal 23 2 4 2 2 4" xfId="3646" xr:uid="{00000000-0005-0000-0000-00002C110000}"/>
    <cellStyle name="Normal 23 2 4 2 3" xfId="1409" xr:uid="{00000000-0005-0000-0000-00002D110000}"/>
    <cellStyle name="Normal 23 2 4 2 3 2" xfId="4146" xr:uid="{00000000-0005-0000-0000-00002E110000}"/>
    <cellStyle name="Normal 23 2 4 2 4" xfId="2301" xr:uid="{00000000-0005-0000-0000-00002F110000}"/>
    <cellStyle name="Normal 23 2 4 2 4 2" xfId="5038" xr:uid="{00000000-0005-0000-0000-000030110000}"/>
    <cellStyle name="Normal 23 2 4 2 5" xfId="3199" xr:uid="{00000000-0005-0000-0000-000031110000}"/>
    <cellStyle name="Normal 23 2 4 3" xfId="661" xr:uid="{00000000-0005-0000-0000-000032110000}"/>
    <cellStyle name="Normal 23 2 4 3 2" xfId="1611" xr:uid="{00000000-0005-0000-0000-000033110000}"/>
    <cellStyle name="Normal 23 2 4 3 2 2" xfId="4348" xr:uid="{00000000-0005-0000-0000-000034110000}"/>
    <cellStyle name="Normal 23 2 4 3 3" xfId="2503" xr:uid="{00000000-0005-0000-0000-000035110000}"/>
    <cellStyle name="Normal 23 2 4 3 3 2" xfId="5240" xr:uid="{00000000-0005-0000-0000-000036110000}"/>
    <cellStyle name="Normal 23 2 4 3 4" xfId="3401" xr:uid="{00000000-0005-0000-0000-000037110000}"/>
    <cellStyle name="Normal 23 2 4 4" xfId="1160" xr:uid="{00000000-0005-0000-0000-000038110000}"/>
    <cellStyle name="Normal 23 2 4 4 2" xfId="3897" xr:uid="{00000000-0005-0000-0000-000039110000}"/>
    <cellStyle name="Normal 23 2 4 5" xfId="2052" xr:uid="{00000000-0005-0000-0000-00003A110000}"/>
    <cellStyle name="Normal 23 2 4 5 2" xfId="4789" xr:uid="{00000000-0005-0000-0000-00003B110000}"/>
    <cellStyle name="Normal 23 2 4 6" xfId="2950" xr:uid="{00000000-0005-0000-0000-00003C110000}"/>
    <cellStyle name="Normal 23 2 5" xfId="230" xr:uid="{00000000-0005-0000-0000-00003D110000}"/>
    <cellStyle name="Normal 23 2 5 2" xfId="484" xr:uid="{00000000-0005-0000-0000-00003E110000}"/>
    <cellStyle name="Normal 23 2 5 2 2" xfId="932" xr:uid="{00000000-0005-0000-0000-00003F110000}"/>
    <cellStyle name="Normal 23 2 5 2 2 2" xfId="1882" xr:uid="{00000000-0005-0000-0000-000040110000}"/>
    <cellStyle name="Normal 23 2 5 2 2 2 2" xfId="4619" xr:uid="{00000000-0005-0000-0000-000041110000}"/>
    <cellStyle name="Normal 23 2 5 2 2 3" xfId="2774" xr:uid="{00000000-0005-0000-0000-000042110000}"/>
    <cellStyle name="Normal 23 2 5 2 2 3 2" xfId="5511" xr:uid="{00000000-0005-0000-0000-000043110000}"/>
    <cellStyle name="Normal 23 2 5 2 2 4" xfId="3672" xr:uid="{00000000-0005-0000-0000-000044110000}"/>
    <cellStyle name="Normal 23 2 5 2 3" xfId="1435" xr:uid="{00000000-0005-0000-0000-000045110000}"/>
    <cellStyle name="Normal 23 2 5 2 3 2" xfId="4172" xr:uid="{00000000-0005-0000-0000-000046110000}"/>
    <cellStyle name="Normal 23 2 5 2 4" xfId="2327" xr:uid="{00000000-0005-0000-0000-000047110000}"/>
    <cellStyle name="Normal 23 2 5 2 4 2" xfId="5064" xr:uid="{00000000-0005-0000-0000-000048110000}"/>
    <cellStyle name="Normal 23 2 5 2 5" xfId="3225" xr:uid="{00000000-0005-0000-0000-000049110000}"/>
    <cellStyle name="Normal 23 2 5 3" xfId="683" xr:uid="{00000000-0005-0000-0000-00004A110000}"/>
    <cellStyle name="Normal 23 2 5 3 2" xfId="1633" xr:uid="{00000000-0005-0000-0000-00004B110000}"/>
    <cellStyle name="Normal 23 2 5 3 2 2" xfId="4370" xr:uid="{00000000-0005-0000-0000-00004C110000}"/>
    <cellStyle name="Normal 23 2 5 3 3" xfId="2525" xr:uid="{00000000-0005-0000-0000-00004D110000}"/>
    <cellStyle name="Normal 23 2 5 3 3 2" xfId="5262" xr:uid="{00000000-0005-0000-0000-00004E110000}"/>
    <cellStyle name="Normal 23 2 5 3 4" xfId="3423" xr:uid="{00000000-0005-0000-0000-00004F110000}"/>
    <cellStyle name="Normal 23 2 5 4" xfId="1186" xr:uid="{00000000-0005-0000-0000-000050110000}"/>
    <cellStyle name="Normal 23 2 5 4 2" xfId="3923" xr:uid="{00000000-0005-0000-0000-000051110000}"/>
    <cellStyle name="Normal 23 2 5 5" xfId="2078" xr:uid="{00000000-0005-0000-0000-000052110000}"/>
    <cellStyle name="Normal 23 2 5 5 2" xfId="4815" xr:uid="{00000000-0005-0000-0000-000053110000}"/>
    <cellStyle name="Normal 23 2 5 6" xfId="2976" xr:uid="{00000000-0005-0000-0000-000054110000}"/>
    <cellStyle name="Normal 23 2 6" xfId="315" xr:uid="{00000000-0005-0000-0000-000055110000}"/>
    <cellStyle name="Normal 23 2 6 2" xfId="768" xr:uid="{00000000-0005-0000-0000-000056110000}"/>
    <cellStyle name="Normal 23 2 6 2 2" xfId="1718" xr:uid="{00000000-0005-0000-0000-000057110000}"/>
    <cellStyle name="Normal 23 2 6 2 2 2" xfId="4455" xr:uid="{00000000-0005-0000-0000-000058110000}"/>
    <cellStyle name="Normal 23 2 6 2 3" xfId="2610" xr:uid="{00000000-0005-0000-0000-000059110000}"/>
    <cellStyle name="Normal 23 2 6 2 3 2" xfId="5347" xr:uid="{00000000-0005-0000-0000-00005A110000}"/>
    <cellStyle name="Normal 23 2 6 2 4" xfId="3508" xr:uid="{00000000-0005-0000-0000-00005B110000}"/>
    <cellStyle name="Normal 23 2 6 3" xfId="1271" xr:uid="{00000000-0005-0000-0000-00005C110000}"/>
    <cellStyle name="Normal 23 2 6 3 2" xfId="4008" xr:uid="{00000000-0005-0000-0000-00005D110000}"/>
    <cellStyle name="Normal 23 2 6 4" xfId="2163" xr:uid="{00000000-0005-0000-0000-00005E110000}"/>
    <cellStyle name="Normal 23 2 6 4 2" xfId="4900" xr:uid="{00000000-0005-0000-0000-00005F110000}"/>
    <cellStyle name="Normal 23 2 6 5" xfId="3061" xr:uid="{00000000-0005-0000-0000-000060110000}"/>
    <cellStyle name="Normal 23 2 7" xfId="373" xr:uid="{00000000-0005-0000-0000-000061110000}"/>
    <cellStyle name="Normal 23 2 7 2" xfId="821" xr:uid="{00000000-0005-0000-0000-000062110000}"/>
    <cellStyle name="Normal 23 2 7 2 2" xfId="1771" xr:uid="{00000000-0005-0000-0000-000063110000}"/>
    <cellStyle name="Normal 23 2 7 2 2 2" xfId="4508" xr:uid="{00000000-0005-0000-0000-000064110000}"/>
    <cellStyle name="Normal 23 2 7 2 3" xfId="2663" xr:uid="{00000000-0005-0000-0000-000065110000}"/>
    <cellStyle name="Normal 23 2 7 2 3 2" xfId="5400" xr:uid="{00000000-0005-0000-0000-000066110000}"/>
    <cellStyle name="Normal 23 2 7 2 4" xfId="3561" xr:uid="{00000000-0005-0000-0000-000067110000}"/>
    <cellStyle name="Normal 23 2 7 3" xfId="1324" xr:uid="{00000000-0005-0000-0000-000068110000}"/>
    <cellStyle name="Normal 23 2 7 3 2" xfId="4061" xr:uid="{00000000-0005-0000-0000-000069110000}"/>
    <cellStyle name="Normal 23 2 7 4" xfId="2216" xr:uid="{00000000-0005-0000-0000-00006A110000}"/>
    <cellStyle name="Normal 23 2 7 4 2" xfId="4953" xr:uid="{00000000-0005-0000-0000-00006B110000}"/>
    <cellStyle name="Normal 23 2 7 5" xfId="3114" xr:uid="{00000000-0005-0000-0000-00006C110000}"/>
    <cellStyle name="Normal 23 2 8" xfId="569" xr:uid="{00000000-0005-0000-0000-00006D110000}"/>
    <cellStyle name="Normal 23 2 8 2" xfId="1520" xr:uid="{00000000-0005-0000-0000-00006E110000}"/>
    <cellStyle name="Normal 23 2 8 2 2" xfId="4257" xr:uid="{00000000-0005-0000-0000-00006F110000}"/>
    <cellStyle name="Normal 23 2 8 3" xfId="2412" xr:uid="{00000000-0005-0000-0000-000070110000}"/>
    <cellStyle name="Normal 23 2 8 3 2" xfId="5149" xr:uid="{00000000-0005-0000-0000-000071110000}"/>
    <cellStyle name="Normal 23 2 8 4" xfId="3310" xr:uid="{00000000-0005-0000-0000-000072110000}"/>
    <cellStyle name="Normal 23 2 9" xfId="1017" xr:uid="{00000000-0005-0000-0000-000073110000}"/>
    <cellStyle name="Normal 23 2 9 2" xfId="3757" xr:uid="{00000000-0005-0000-0000-000074110000}"/>
    <cellStyle name="Normal 23 3" xfId="132" xr:uid="{00000000-0005-0000-0000-000075110000}"/>
    <cellStyle name="Normal 23 3 10" xfId="2883" xr:uid="{00000000-0005-0000-0000-000076110000}"/>
    <cellStyle name="Normal 23 3 2" xfId="176" xr:uid="{00000000-0005-0000-0000-000077110000}"/>
    <cellStyle name="Normal 23 3 2 2" xfId="289" xr:uid="{00000000-0005-0000-0000-000078110000}"/>
    <cellStyle name="Normal 23 3 2 2 2" xfId="543" xr:uid="{00000000-0005-0000-0000-000079110000}"/>
    <cellStyle name="Normal 23 3 2 2 2 2" xfId="991" xr:uid="{00000000-0005-0000-0000-00007A110000}"/>
    <cellStyle name="Normal 23 3 2 2 2 2 2" xfId="1941" xr:uid="{00000000-0005-0000-0000-00007B110000}"/>
    <cellStyle name="Normal 23 3 2 2 2 2 2 2" xfId="4678" xr:uid="{00000000-0005-0000-0000-00007C110000}"/>
    <cellStyle name="Normal 23 3 2 2 2 2 3" xfId="2833" xr:uid="{00000000-0005-0000-0000-00007D110000}"/>
    <cellStyle name="Normal 23 3 2 2 2 2 3 2" xfId="5570" xr:uid="{00000000-0005-0000-0000-00007E110000}"/>
    <cellStyle name="Normal 23 3 2 2 2 2 4" xfId="3731" xr:uid="{00000000-0005-0000-0000-00007F110000}"/>
    <cellStyle name="Normal 23 3 2 2 2 3" xfId="1494" xr:uid="{00000000-0005-0000-0000-000080110000}"/>
    <cellStyle name="Normal 23 3 2 2 2 3 2" xfId="4231" xr:uid="{00000000-0005-0000-0000-000081110000}"/>
    <cellStyle name="Normal 23 3 2 2 2 4" xfId="2386" xr:uid="{00000000-0005-0000-0000-000082110000}"/>
    <cellStyle name="Normal 23 3 2 2 2 4 2" xfId="5123" xr:uid="{00000000-0005-0000-0000-000083110000}"/>
    <cellStyle name="Normal 23 3 2 2 2 5" xfId="3284" xr:uid="{00000000-0005-0000-0000-000084110000}"/>
    <cellStyle name="Normal 23 3 2 2 3" xfId="742" xr:uid="{00000000-0005-0000-0000-000085110000}"/>
    <cellStyle name="Normal 23 3 2 2 3 2" xfId="1692" xr:uid="{00000000-0005-0000-0000-000086110000}"/>
    <cellStyle name="Normal 23 3 2 2 3 2 2" xfId="4429" xr:uid="{00000000-0005-0000-0000-000087110000}"/>
    <cellStyle name="Normal 23 3 2 2 3 3" xfId="2584" xr:uid="{00000000-0005-0000-0000-000088110000}"/>
    <cellStyle name="Normal 23 3 2 2 3 3 2" xfId="5321" xr:uid="{00000000-0005-0000-0000-000089110000}"/>
    <cellStyle name="Normal 23 3 2 2 3 4" xfId="3482" xr:uid="{00000000-0005-0000-0000-00008A110000}"/>
    <cellStyle name="Normal 23 3 2 2 4" xfId="1245" xr:uid="{00000000-0005-0000-0000-00008B110000}"/>
    <cellStyle name="Normal 23 3 2 2 4 2" xfId="3982" xr:uid="{00000000-0005-0000-0000-00008C110000}"/>
    <cellStyle name="Normal 23 3 2 2 5" xfId="2137" xr:uid="{00000000-0005-0000-0000-00008D110000}"/>
    <cellStyle name="Normal 23 3 2 2 5 2" xfId="4874" xr:uid="{00000000-0005-0000-0000-00008E110000}"/>
    <cellStyle name="Normal 23 3 2 2 6" xfId="3035" xr:uid="{00000000-0005-0000-0000-00008F110000}"/>
    <cellStyle name="Normal 23 3 2 3" xfId="432" xr:uid="{00000000-0005-0000-0000-000090110000}"/>
    <cellStyle name="Normal 23 3 2 3 2" xfId="880" xr:uid="{00000000-0005-0000-0000-000091110000}"/>
    <cellStyle name="Normal 23 3 2 3 2 2" xfId="1830" xr:uid="{00000000-0005-0000-0000-000092110000}"/>
    <cellStyle name="Normal 23 3 2 3 2 2 2" xfId="4567" xr:uid="{00000000-0005-0000-0000-000093110000}"/>
    <cellStyle name="Normal 23 3 2 3 2 3" xfId="2722" xr:uid="{00000000-0005-0000-0000-000094110000}"/>
    <cellStyle name="Normal 23 3 2 3 2 3 2" xfId="5459" xr:uid="{00000000-0005-0000-0000-000095110000}"/>
    <cellStyle name="Normal 23 3 2 3 2 4" xfId="3620" xr:uid="{00000000-0005-0000-0000-000096110000}"/>
    <cellStyle name="Normal 23 3 2 3 3" xfId="1383" xr:uid="{00000000-0005-0000-0000-000097110000}"/>
    <cellStyle name="Normal 23 3 2 3 3 2" xfId="4120" xr:uid="{00000000-0005-0000-0000-000098110000}"/>
    <cellStyle name="Normal 23 3 2 3 4" xfId="2275" xr:uid="{00000000-0005-0000-0000-000099110000}"/>
    <cellStyle name="Normal 23 3 2 3 4 2" xfId="5012" xr:uid="{00000000-0005-0000-0000-00009A110000}"/>
    <cellStyle name="Normal 23 3 2 3 5" xfId="3173" xr:uid="{00000000-0005-0000-0000-00009B110000}"/>
    <cellStyle name="Normal 23 3 2 4" xfId="641" xr:uid="{00000000-0005-0000-0000-00009C110000}"/>
    <cellStyle name="Normal 23 3 2 4 2" xfId="1591" xr:uid="{00000000-0005-0000-0000-00009D110000}"/>
    <cellStyle name="Normal 23 3 2 4 2 2" xfId="4328" xr:uid="{00000000-0005-0000-0000-00009E110000}"/>
    <cellStyle name="Normal 23 3 2 4 3" xfId="2483" xr:uid="{00000000-0005-0000-0000-00009F110000}"/>
    <cellStyle name="Normal 23 3 2 4 3 2" xfId="5220" xr:uid="{00000000-0005-0000-0000-0000A0110000}"/>
    <cellStyle name="Normal 23 3 2 4 4" xfId="3381" xr:uid="{00000000-0005-0000-0000-0000A1110000}"/>
    <cellStyle name="Normal 23 3 2 5" xfId="1134" xr:uid="{00000000-0005-0000-0000-0000A2110000}"/>
    <cellStyle name="Normal 23 3 2 5 2" xfId="3871" xr:uid="{00000000-0005-0000-0000-0000A3110000}"/>
    <cellStyle name="Normal 23 3 2 6" xfId="2026" xr:uid="{00000000-0005-0000-0000-0000A4110000}"/>
    <cellStyle name="Normal 23 3 2 6 2" xfId="4763" xr:uid="{00000000-0005-0000-0000-0000A5110000}"/>
    <cellStyle name="Normal 23 3 2 7" xfId="2924" xr:uid="{00000000-0005-0000-0000-0000A6110000}"/>
    <cellStyle name="Normal 23 3 3" xfId="248" xr:uid="{00000000-0005-0000-0000-0000A7110000}"/>
    <cellStyle name="Normal 23 3 3 2" xfId="502" xr:uid="{00000000-0005-0000-0000-0000A8110000}"/>
    <cellStyle name="Normal 23 3 3 2 2" xfId="950" xr:uid="{00000000-0005-0000-0000-0000A9110000}"/>
    <cellStyle name="Normal 23 3 3 2 2 2" xfId="1900" xr:uid="{00000000-0005-0000-0000-0000AA110000}"/>
    <cellStyle name="Normal 23 3 3 2 2 2 2" xfId="4637" xr:uid="{00000000-0005-0000-0000-0000AB110000}"/>
    <cellStyle name="Normal 23 3 3 2 2 3" xfId="2792" xr:uid="{00000000-0005-0000-0000-0000AC110000}"/>
    <cellStyle name="Normal 23 3 3 2 2 3 2" xfId="5529" xr:uid="{00000000-0005-0000-0000-0000AD110000}"/>
    <cellStyle name="Normal 23 3 3 2 2 4" xfId="3690" xr:uid="{00000000-0005-0000-0000-0000AE110000}"/>
    <cellStyle name="Normal 23 3 3 2 3" xfId="1453" xr:uid="{00000000-0005-0000-0000-0000AF110000}"/>
    <cellStyle name="Normal 23 3 3 2 3 2" xfId="4190" xr:uid="{00000000-0005-0000-0000-0000B0110000}"/>
    <cellStyle name="Normal 23 3 3 2 4" xfId="2345" xr:uid="{00000000-0005-0000-0000-0000B1110000}"/>
    <cellStyle name="Normal 23 3 3 2 4 2" xfId="5082" xr:uid="{00000000-0005-0000-0000-0000B2110000}"/>
    <cellStyle name="Normal 23 3 3 2 5" xfId="3243" xr:uid="{00000000-0005-0000-0000-0000B3110000}"/>
    <cellStyle name="Normal 23 3 3 3" xfId="701" xr:uid="{00000000-0005-0000-0000-0000B4110000}"/>
    <cellStyle name="Normal 23 3 3 3 2" xfId="1651" xr:uid="{00000000-0005-0000-0000-0000B5110000}"/>
    <cellStyle name="Normal 23 3 3 3 2 2" xfId="4388" xr:uid="{00000000-0005-0000-0000-0000B6110000}"/>
    <cellStyle name="Normal 23 3 3 3 3" xfId="2543" xr:uid="{00000000-0005-0000-0000-0000B7110000}"/>
    <cellStyle name="Normal 23 3 3 3 3 2" xfId="5280" xr:uid="{00000000-0005-0000-0000-0000B8110000}"/>
    <cellStyle name="Normal 23 3 3 3 4" xfId="3441" xr:uid="{00000000-0005-0000-0000-0000B9110000}"/>
    <cellStyle name="Normal 23 3 3 4" xfId="1204" xr:uid="{00000000-0005-0000-0000-0000BA110000}"/>
    <cellStyle name="Normal 23 3 3 4 2" xfId="3941" xr:uid="{00000000-0005-0000-0000-0000BB110000}"/>
    <cellStyle name="Normal 23 3 3 5" xfId="2096" xr:uid="{00000000-0005-0000-0000-0000BC110000}"/>
    <cellStyle name="Normal 23 3 3 5 2" xfId="4833" xr:uid="{00000000-0005-0000-0000-0000BD110000}"/>
    <cellStyle name="Normal 23 3 3 6" xfId="2994" xr:uid="{00000000-0005-0000-0000-0000BE110000}"/>
    <cellStyle name="Normal 23 3 4" xfId="341" xr:uid="{00000000-0005-0000-0000-0000BF110000}"/>
    <cellStyle name="Normal 23 3 4 2" xfId="794" xr:uid="{00000000-0005-0000-0000-0000C0110000}"/>
    <cellStyle name="Normal 23 3 4 2 2" xfId="1744" xr:uid="{00000000-0005-0000-0000-0000C1110000}"/>
    <cellStyle name="Normal 23 3 4 2 2 2" xfId="4481" xr:uid="{00000000-0005-0000-0000-0000C2110000}"/>
    <cellStyle name="Normal 23 3 4 2 3" xfId="2636" xr:uid="{00000000-0005-0000-0000-0000C3110000}"/>
    <cellStyle name="Normal 23 3 4 2 3 2" xfId="5373" xr:uid="{00000000-0005-0000-0000-0000C4110000}"/>
    <cellStyle name="Normal 23 3 4 2 4" xfId="3534" xr:uid="{00000000-0005-0000-0000-0000C5110000}"/>
    <cellStyle name="Normal 23 3 4 3" xfId="1297" xr:uid="{00000000-0005-0000-0000-0000C6110000}"/>
    <cellStyle name="Normal 23 3 4 3 2" xfId="4034" xr:uid="{00000000-0005-0000-0000-0000C7110000}"/>
    <cellStyle name="Normal 23 3 4 4" xfId="2189" xr:uid="{00000000-0005-0000-0000-0000C8110000}"/>
    <cellStyle name="Normal 23 3 4 4 2" xfId="4926" xr:uid="{00000000-0005-0000-0000-0000C9110000}"/>
    <cellStyle name="Normal 23 3 4 5" xfId="3087" xr:uid="{00000000-0005-0000-0000-0000CA110000}"/>
    <cellStyle name="Normal 23 3 5" xfId="391" xr:uid="{00000000-0005-0000-0000-0000CB110000}"/>
    <cellStyle name="Normal 23 3 5 2" xfId="839" xr:uid="{00000000-0005-0000-0000-0000CC110000}"/>
    <cellStyle name="Normal 23 3 5 2 2" xfId="1789" xr:uid="{00000000-0005-0000-0000-0000CD110000}"/>
    <cellStyle name="Normal 23 3 5 2 2 2" xfId="4526" xr:uid="{00000000-0005-0000-0000-0000CE110000}"/>
    <cellStyle name="Normal 23 3 5 2 3" xfId="2681" xr:uid="{00000000-0005-0000-0000-0000CF110000}"/>
    <cellStyle name="Normal 23 3 5 2 3 2" xfId="5418" xr:uid="{00000000-0005-0000-0000-0000D0110000}"/>
    <cellStyle name="Normal 23 3 5 2 4" xfId="3579" xr:uid="{00000000-0005-0000-0000-0000D1110000}"/>
    <cellStyle name="Normal 23 3 5 3" xfId="1342" xr:uid="{00000000-0005-0000-0000-0000D2110000}"/>
    <cellStyle name="Normal 23 3 5 3 2" xfId="4079" xr:uid="{00000000-0005-0000-0000-0000D3110000}"/>
    <cellStyle name="Normal 23 3 5 4" xfId="2234" xr:uid="{00000000-0005-0000-0000-0000D4110000}"/>
    <cellStyle name="Normal 23 3 5 4 2" xfId="4971" xr:uid="{00000000-0005-0000-0000-0000D5110000}"/>
    <cellStyle name="Normal 23 3 5 5" xfId="3132" xr:uid="{00000000-0005-0000-0000-0000D6110000}"/>
    <cellStyle name="Normal 23 3 6" xfId="596" xr:uid="{00000000-0005-0000-0000-0000D7110000}"/>
    <cellStyle name="Normal 23 3 6 2" xfId="1546" xr:uid="{00000000-0005-0000-0000-0000D8110000}"/>
    <cellStyle name="Normal 23 3 6 2 2" xfId="4283" xr:uid="{00000000-0005-0000-0000-0000D9110000}"/>
    <cellStyle name="Normal 23 3 6 3" xfId="2438" xr:uid="{00000000-0005-0000-0000-0000DA110000}"/>
    <cellStyle name="Normal 23 3 6 3 2" xfId="5175" xr:uid="{00000000-0005-0000-0000-0000DB110000}"/>
    <cellStyle name="Normal 23 3 6 4" xfId="3336" xr:uid="{00000000-0005-0000-0000-0000DC110000}"/>
    <cellStyle name="Normal 23 3 7" xfId="1044" xr:uid="{00000000-0005-0000-0000-0000DD110000}"/>
    <cellStyle name="Normal 23 3 7 2" xfId="3783" xr:uid="{00000000-0005-0000-0000-0000DE110000}"/>
    <cellStyle name="Normal 23 3 8" xfId="1093" xr:uid="{00000000-0005-0000-0000-0000DF110000}"/>
    <cellStyle name="Normal 23 3 8 2" xfId="3830" xr:uid="{00000000-0005-0000-0000-0000E0110000}"/>
    <cellStyle name="Normal 23 3 9" xfId="1985" xr:uid="{00000000-0005-0000-0000-0000E1110000}"/>
    <cellStyle name="Normal 23 3 9 2" xfId="4722" xr:uid="{00000000-0005-0000-0000-0000E2110000}"/>
    <cellStyle name="Normal 23 4" xfId="152" xr:uid="{00000000-0005-0000-0000-0000E3110000}"/>
    <cellStyle name="Normal 23 4 2" xfId="265" xr:uid="{00000000-0005-0000-0000-0000E4110000}"/>
    <cellStyle name="Normal 23 4 2 2" xfId="519" xr:uid="{00000000-0005-0000-0000-0000E5110000}"/>
    <cellStyle name="Normal 23 4 2 2 2" xfId="967" xr:uid="{00000000-0005-0000-0000-0000E6110000}"/>
    <cellStyle name="Normal 23 4 2 2 2 2" xfId="1917" xr:uid="{00000000-0005-0000-0000-0000E7110000}"/>
    <cellStyle name="Normal 23 4 2 2 2 2 2" xfId="4654" xr:uid="{00000000-0005-0000-0000-0000E8110000}"/>
    <cellStyle name="Normal 23 4 2 2 2 3" xfId="2809" xr:uid="{00000000-0005-0000-0000-0000E9110000}"/>
    <cellStyle name="Normal 23 4 2 2 2 3 2" xfId="5546" xr:uid="{00000000-0005-0000-0000-0000EA110000}"/>
    <cellStyle name="Normal 23 4 2 2 2 4" xfId="3707" xr:uid="{00000000-0005-0000-0000-0000EB110000}"/>
    <cellStyle name="Normal 23 4 2 2 3" xfId="1470" xr:uid="{00000000-0005-0000-0000-0000EC110000}"/>
    <cellStyle name="Normal 23 4 2 2 3 2" xfId="4207" xr:uid="{00000000-0005-0000-0000-0000ED110000}"/>
    <cellStyle name="Normal 23 4 2 2 4" xfId="2362" xr:uid="{00000000-0005-0000-0000-0000EE110000}"/>
    <cellStyle name="Normal 23 4 2 2 4 2" xfId="5099" xr:uid="{00000000-0005-0000-0000-0000EF110000}"/>
    <cellStyle name="Normal 23 4 2 2 5" xfId="3260" xr:uid="{00000000-0005-0000-0000-0000F0110000}"/>
    <cellStyle name="Normal 23 4 2 3" xfId="718" xr:uid="{00000000-0005-0000-0000-0000F1110000}"/>
    <cellStyle name="Normal 23 4 2 3 2" xfId="1668" xr:uid="{00000000-0005-0000-0000-0000F2110000}"/>
    <cellStyle name="Normal 23 4 2 3 2 2" xfId="4405" xr:uid="{00000000-0005-0000-0000-0000F3110000}"/>
    <cellStyle name="Normal 23 4 2 3 3" xfId="2560" xr:uid="{00000000-0005-0000-0000-0000F4110000}"/>
    <cellStyle name="Normal 23 4 2 3 3 2" xfId="5297" xr:uid="{00000000-0005-0000-0000-0000F5110000}"/>
    <cellStyle name="Normal 23 4 2 3 4" xfId="3458" xr:uid="{00000000-0005-0000-0000-0000F6110000}"/>
    <cellStyle name="Normal 23 4 2 4" xfId="1221" xr:uid="{00000000-0005-0000-0000-0000F7110000}"/>
    <cellStyle name="Normal 23 4 2 4 2" xfId="3958" xr:uid="{00000000-0005-0000-0000-0000F8110000}"/>
    <cellStyle name="Normal 23 4 2 5" xfId="2113" xr:uid="{00000000-0005-0000-0000-0000F9110000}"/>
    <cellStyle name="Normal 23 4 2 5 2" xfId="4850" xr:uid="{00000000-0005-0000-0000-0000FA110000}"/>
    <cellStyle name="Normal 23 4 2 6" xfId="3011" xr:uid="{00000000-0005-0000-0000-0000FB110000}"/>
    <cellStyle name="Normal 23 4 3" xfId="408" xr:uid="{00000000-0005-0000-0000-0000FC110000}"/>
    <cellStyle name="Normal 23 4 3 2" xfId="856" xr:uid="{00000000-0005-0000-0000-0000FD110000}"/>
    <cellStyle name="Normal 23 4 3 2 2" xfId="1806" xr:uid="{00000000-0005-0000-0000-0000FE110000}"/>
    <cellStyle name="Normal 23 4 3 2 2 2" xfId="4543" xr:uid="{00000000-0005-0000-0000-0000FF110000}"/>
    <cellStyle name="Normal 23 4 3 2 3" xfId="2698" xr:uid="{00000000-0005-0000-0000-000000120000}"/>
    <cellStyle name="Normal 23 4 3 2 3 2" xfId="5435" xr:uid="{00000000-0005-0000-0000-000001120000}"/>
    <cellStyle name="Normal 23 4 3 2 4" xfId="3596" xr:uid="{00000000-0005-0000-0000-000002120000}"/>
    <cellStyle name="Normal 23 4 3 3" xfId="1359" xr:uid="{00000000-0005-0000-0000-000003120000}"/>
    <cellStyle name="Normal 23 4 3 3 2" xfId="4096" xr:uid="{00000000-0005-0000-0000-000004120000}"/>
    <cellStyle name="Normal 23 4 3 4" xfId="2251" xr:uid="{00000000-0005-0000-0000-000005120000}"/>
    <cellStyle name="Normal 23 4 3 4 2" xfId="4988" xr:uid="{00000000-0005-0000-0000-000006120000}"/>
    <cellStyle name="Normal 23 4 3 5" xfId="3149" xr:uid="{00000000-0005-0000-0000-000007120000}"/>
    <cellStyle name="Normal 23 4 4" xfId="617" xr:uid="{00000000-0005-0000-0000-000008120000}"/>
    <cellStyle name="Normal 23 4 4 2" xfId="1567" xr:uid="{00000000-0005-0000-0000-000009120000}"/>
    <cellStyle name="Normal 23 4 4 2 2" xfId="4304" xr:uid="{00000000-0005-0000-0000-00000A120000}"/>
    <cellStyle name="Normal 23 4 4 3" xfId="2459" xr:uid="{00000000-0005-0000-0000-00000B120000}"/>
    <cellStyle name="Normal 23 4 4 3 2" xfId="5196" xr:uid="{00000000-0005-0000-0000-00000C120000}"/>
    <cellStyle name="Normal 23 4 4 4" xfId="3357" xr:uid="{00000000-0005-0000-0000-00000D120000}"/>
    <cellStyle name="Normal 23 4 5" xfId="1110" xr:uid="{00000000-0005-0000-0000-00000E120000}"/>
    <cellStyle name="Normal 23 4 5 2" xfId="3847" xr:uid="{00000000-0005-0000-0000-00000F120000}"/>
    <cellStyle name="Normal 23 4 6" xfId="2002" xr:uid="{00000000-0005-0000-0000-000010120000}"/>
    <cellStyle name="Normal 23 4 6 2" xfId="4739" xr:uid="{00000000-0005-0000-0000-000011120000}"/>
    <cellStyle name="Normal 23 4 7" xfId="2900" xr:uid="{00000000-0005-0000-0000-000012120000}"/>
    <cellStyle name="Normal 23 5" xfId="202" xr:uid="{00000000-0005-0000-0000-000013120000}"/>
    <cellStyle name="Normal 23 5 2" xfId="457" xr:uid="{00000000-0005-0000-0000-000014120000}"/>
    <cellStyle name="Normal 23 5 2 2" xfId="905" xr:uid="{00000000-0005-0000-0000-000015120000}"/>
    <cellStyle name="Normal 23 5 2 2 2" xfId="1855" xr:uid="{00000000-0005-0000-0000-000016120000}"/>
    <cellStyle name="Normal 23 5 2 2 2 2" xfId="4592" xr:uid="{00000000-0005-0000-0000-000017120000}"/>
    <cellStyle name="Normal 23 5 2 2 3" xfId="2747" xr:uid="{00000000-0005-0000-0000-000018120000}"/>
    <cellStyle name="Normal 23 5 2 2 3 2" xfId="5484" xr:uid="{00000000-0005-0000-0000-000019120000}"/>
    <cellStyle name="Normal 23 5 2 2 4" xfId="3645" xr:uid="{00000000-0005-0000-0000-00001A120000}"/>
    <cellStyle name="Normal 23 5 2 3" xfId="1408" xr:uid="{00000000-0005-0000-0000-00001B120000}"/>
    <cellStyle name="Normal 23 5 2 3 2" xfId="4145" xr:uid="{00000000-0005-0000-0000-00001C120000}"/>
    <cellStyle name="Normal 23 5 2 4" xfId="2300" xr:uid="{00000000-0005-0000-0000-00001D120000}"/>
    <cellStyle name="Normal 23 5 2 4 2" xfId="5037" xr:uid="{00000000-0005-0000-0000-00001E120000}"/>
    <cellStyle name="Normal 23 5 2 5" xfId="3198" xr:uid="{00000000-0005-0000-0000-00001F120000}"/>
    <cellStyle name="Normal 23 5 3" xfId="660" xr:uid="{00000000-0005-0000-0000-000020120000}"/>
    <cellStyle name="Normal 23 5 3 2" xfId="1610" xr:uid="{00000000-0005-0000-0000-000021120000}"/>
    <cellStyle name="Normal 23 5 3 2 2" xfId="4347" xr:uid="{00000000-0005-0000-0000-000022120000}"/>
    <cellStyle name="Normal 23 5 3 3" xfId="2502" xr:uid="{00000000-0005-0000-0000-000023120000}"/>
    <cellStyle name="Normal 23 5 3 3 2" xfId="5239" xr:uid="{00000000-0005-0000-0000-000024120000}"/>
    <cellStyle name="Normal 23 5 3 4" xfId="3400" xr:uid="{00000000-0005-0000-0000-000025120000}"/>
    <cellStyle name="Normal 23 5 4" xfId="1159" xr:uid="{00000000-0005-0000-0000-000026120000}"/>
    <cellStyle name="Normal 23 5 4 2" xfId="3896" xr:uid="{00000000-0005-0000-0000-000027120000}"/>
    <cellStyle name="Normal 23 5 5" xfId="2051" xr:uid="{00000000-0005-0000-0000-000028120000}"/>
    <cellStyle name="Normal 23 5 5 2" xfId="4788" xr:uid="{00000000-0005-0000-0000-000029120000}"/>
    <cellStyle name="Normal 23 5 6" xfId="2949" xr:uid="{00000000-0005-0000-0000-00002A120000}"/>
    <cellStyle name="Normal 23 6" xfId="224" xr:uid="{00000000-0005-0000-0000-00002B120000}"/>
    <cellStyle name="Normal 23 6 2" xfId="478" xr:uid="{00000000-0005-0000-0000-00002C120000}"/>
    <cellStyle name="Normal 23 6 2 2" xfId="926" xr:uid="{00000000-0005-0000-0000-00002D120000}"/>
    <cellStyle name="Normal 23 6 2 2 2" xfId="1876" xr:uid="{00000000-0005-0000-0000-00002E120000}"/>
    <cellStyle name="Normal 23 6 2 2 2 2" xfId="4613" xr:uid="{00000000-0005-0000-0000-00002F120000}"/>
    <cellStyle name="Normal 23 6 2 2 3" xfId="2768" xr:uid="{00000000-0005-0000-0000-000030120000}"/>
    <cellStyle name="Normal 23 6 2 2 3 2" xfId="5505" xr:uid="{00000000-0005-0000-0000-000031120000}"/>
    <cellStyle name="Normal 23 6 2 2 4" xfId="3666" xr:uid="{00000000-0005-0000-0000-000032120000}"/>
    <cellStyle name="Normal 23 6 2 3" xfId="1429" xr:uid="{00000000-0005-0000-0000-000033120000}"/>
    <cellStyle name="Normal 23 6 2 3 2" xfId="4166" xr:uid="{00000000-0005-0000-0000-000034120000}"/>
    <cellStyle name="Normal 23 6 2 4" xfId="2321" xr:uid="{00000000-0005-0000-0000-000035120000}"/>
    <cellStyle name="Normal 23 6 2 4 2" xfId="5058" xr:uid="{00000000-0005-0000-0000-000036120000}"/>
    <cellStyle name="Normal 23 6 2 5" xfId="3219" xr:uid="{00000000-0005-0000-0000-000037120000}"/>
    <cellStyle name="Normal 23 6 3" xfId="677" xr:uid="{00000000-0005-0000-0000-000038120000}"/>
    <cellStyle name="Normal 23 6 3 2" xfId="1627" xr:uid="{00000000-0005-0000-0000-000039120000}"/>
    <cellStyle name="Normal 23 6 3 2 2" xfId="4364" xr:uid="{00000000-0005-0000-0000-00003A120000}"/>
    <cellStyle name="Normal 23 6 3 3" xfId="2519" xr:uid="{00000000-0005-0000-0000-00003B120000}"/>
    <cellStyle name="Normal 23 6 3 3 2" xfId="5256" xr:uid="{00000000-0005-0000-0000-00003C120000}"/>
    <cellStyle name="Normal 23 6 3 4" xfId="3417" xr:uid="{00000000-0005-0000-0000-00003D120000}"/>
    <cellStyle name="Normal 23 6 4" xfId="1180" xr:uid="{00000000-0005-0000-0000-00003E120000}"/>
    <cellStyle name="Normal 23 6 4 2" xfId="3917" xr:uid="{00000000-0005-0000-0000-00003F120000}"/>
    <cellStyle name="Normal 23 6 5" xfId="2072" xr:uid="{00000000-0005-0000-0000-000040120000}"/>
    <cellStyle name="Normal 23 6 5 2" xfId="4809" xr:uid="{00000000-0005-0000-0000-000041120000}"/>
    <cellStyle name="Normal 23 6 6" xfId="2970" xr:uid="{00000000-0005-0000-0000-000042120000}"/>
    <cellStyle name="Normal 23 7" xfId="314" xr:uid="{00000000-0005-0000-0000-000043120000}"/>
    <cellStyle name="Normal 23 7 2" xfId="767" xr:uid="{00000000-0005-0000-0000-000044120000}"/>
    <cellStyle name="Normal 23 7 2 2" xfId="1717" xr:uid="{00000000-0005-0000-0000-000045120000}"/>
    <cellStyle name="Normal 23 7 2 2 2" xfId="4454" xr:uid="{00000000-0005-0000-0000-000046120000}"/>
    <cellStyle name="Normal 23 7 2 3" xfId="2609" xr:uid="{00000000-0005-0000-0000-000047120000}"/>
    <cellStyle name="Normal 23 7 2 3 2" xfId="5346" xr:uid="{00000000-0005-0000-0000-000048120000}"/>
    <cellStyle name="Normal 23 7 2 4" xfId="3507" xr:uid="{00000000-0005-0000-0000-000049120000}"/>
    <cellStyle name="Normal 23 7 3" xfId="1270" xr:uid="{00000000-0005-0000-0000-00004A120000}"/>
    <cellStyle name="Normal 23 7 3 2" xfId="4007" xr:uid="{00000000-0005-0000-0000-00004B120000}"/>
    <cellStyle name="Normal 23 7 4" xfId="2162" xr:uid="{00000000-0005-0000-0000-00004C120000}"/>
    <cellStyle name="Normal 23 7 4 2" xfId="4899" xr:uid="{00000000-0005-0000-0000-00004D120000}"/>
    <cellStyle name="Normal 23 7 5" xfId="3060" xr:uid="{00000000-0005-0000-0000-00004E120000}"/>
    <cellStyle name="Normal 23 8" xfId="367" xr:uid="{00000000-0005-0000-0000-00004F120000}"/>
    <cellStyle name="Normal 23 8 2" xfId="815" xr:uid="{00000000-0005-0000-0000-000050120000}"/>
    <cellStyle name="Normal 23 8 2 2" xfId="1765" xr:uid="{00000000-0005-0000-0000-000051120000}"/>
    <cellStyle name="Normal 23 8 2 2 2" xfId="4502" xr:uid="{00000000-0005-0000-0000-000052120000}"/>
    <cellStyle name="Normal 23 8 2 3" xfId="2657" xr:uid="{00000000-0005-0000-0000-000053120000}"/>
    <cellStyle name="Normal 23 8 2 3 2" xfId="5394" xr:uid="{00000000-0005-0000-0000-000054120000}"/>
    <cellStyle name="Normal 23 8 2 4" xfId="3555" xr:uid="{00000000-0005-0000-0000-000055120000}"/>
    <cellStyle name="Normal 23 8 3" xfId="1318" xr:uid="{00000000-0005-0000-0000-000056120000}"/>
    <cellStyle name="Normal 23 8 3 2" xfId="4055" xr:uid="{00000000-0005-0000-0000-000057120000}"/>
    <cellStyle name="Normal 23 8 4" xfId="2210" xr:uid="{00000000-0005-0000-0000-000058120000}"/>
    <cellStyle name="Normal 23 8 4 2" xfId="4947" xr:uid="{00000000-0005-0000-0000-000059120000}"/>
    <cellStyle name="Normal 23 8 5" xfId="3108" xr:uid="{00000000-0005-0000-0000-00005A120000}"/>
    <cellStyle name="Normal 23 9" xfId="568" xr:uid="{00000000-0005-0000-0000-00005B120000}"/>
    <cellStyle name="Normal 23 9 2" xfId="1519" xr:uid="{00000000-0005-0000-0000-00005C120000}"/>
    <cellStyle name="Normal 23 9 2 2" xfId="4256" xr:uid="{00000000-0005-0000-0000-00005D120000}"/>
    <cellStyle name="Normal 23 9 3" xfId="2411" xr:uid="{00000000-0005-0000-0000-00005E120000}"/>
    <cellStyle name="Normal 23 9 3 2" xfId="5148" xr:uid="{00000000-0005-0000-0000-00005F120000}"/>
    <cellStyle name="Normal 23 9 4" xfId="3309" xr:uid="{00000000-0005-0000-0000-000060120000}"/>
    <cellStyle name="Normal 24" xfId="134" xr:uid="{00000000-0005-0000-0000-000061120000}"/>
    <cellStyle name="Normal 24 2" xfId="343" xr:uid="{00000000-0005-0000-0000-000062120000}"/>
    <cellStyle name="Normal 25" xfId="135" xr:uid="{00000000-0005-0000-0000-000063120000}"/>
    <cellStyle name="Normal 26" xfId="136" xr:uid="{00000000-0005-0000-0000-000064120000}"/>
    <cellStyle name="Normal 26 10" xfId="1987" xr:uid="{00000000-0005-0000-0000-000065120000}"/>
    <cellStyle name="Normal 26 10 2" xfId="4724" xr:uid="{00000000-0005-0000-0000-000066120000}"/>
    <cellStyle name="Normal 26 11" xfId="2885" xr:uid="{00000000-0005-0000-0000-000067120000}"/>
    <cellStyle name="Normal 26 2" xfId="178" xr:uid="{00000000-0005-0000-0000-000068120000}"/>
    <cellStyle name="Normal 26 2 2" xfId="291" xr:uid="{00000000-0005-0000-0000-000069120000}"/>
    <cellStyle name="Normal 26 2 2 2" xfId="545" xr:uid="{00000000-0005-0000-0000-00006A120000}"/>
    <cellStyle name="Normal 26 2 2 2 2" xfId="993" xr:uid="{00000000-0005-0000-0000-00006B120000}"/>
    <cellStyle name="Normal 26 2 2 2 2 2" xfId="1943" xr:uid="{00000000-0005-0000-0000-00006C120000}"/>
    <cellStyle name="Normal 26 2 2 2 2 2 2" xfId="4680" xr:uid="{00000000-0005-0000-0000-00006D120000}"/>
    <cellStyle name="Normal 26 2 2 2 2 3" xfId="2835" xr:uid="{00000000-0005-0000-0000-00006E120000}"/>
    <cellStyle name="Normal 26 2 2 2 2 3 2" xfId="5572" xr:uid="{00000000-0005-0000-0000-00006F120000}"/>
    <cellStyle name="Normal 26 2 2 2 2 4" xfId="3733" xr:uid="{00000000-0005-0000-0000-000070120000}"/>
    <cellStyle name="Normal 26 2 2 2 3" xfId="1496" xr:uid="{00000000-0005-0000-0000-000071120000}"/>
    <cellStyle name="Normal 26 2 2 2 3 2" xfId="4233" xr:uid="{00000000-0005-0000-0000-000072120000}"/>
    <cellStyle name="Normal 26 2 2 2 4" xfId="2388" xr:uid="{00000000-0005-0000-0000-000073120000}"/>
    <cellStyle name="Normal 26 2 2 2 4 2" xfId="5125" xr:uid="{00000000-0005-0000-0000-000074120000}"/>
    <cellStyle name="Normal 26 2 2 2 5" xfId="3286" xr:uid="{00000000-0005-0000-0000-000075120000}"/>
    <cellStyle name="Normal 26 2 2 3" xfId="744" xr:uid="{00000000-0005-0000-0000-000076120000}"/>
    <cellStyle name="Normal 26 2 2 3 2" xfId="1694" xr:uid="{00000000-0005-0000-0000-000077120000}"/>
    <cellStyle name="Normal 26 2 2 3 2 2" xfId="4431" xr:uid="{00000000-0005-0000-0000-000078120000}"/>
    <cellStyle name="Normal 26 2 2 3 3" xfId="2586" xr:uid="{00000000-0005-0000-0000-000079120000}"/>
    <cellStyle name="Normal 26 2 2 3 3 2" xfId="5323" xr:uid="{00000000-0005-0000-0000-00007A120000}"/>
    <cellStyle name="Normal 26 2 2 3 4" xfId="3484" xr:uid="{00000000-0005-0000-0000-00007B120000}"/>
    <cellStyle name="Normal 26 2 2 4" xfId="1247" xr:uid="{00000000-0005-0000-0000-00007C120000}"/>
    <cellStyle name="Normal 26 2 2 4 2" xfId="3984" xr:uid="{00000000-0005-0000-0000-00007D120000}"/>
    <cellStyle name="Normal 26 2 2 5" xfId="2139" xr:uid="{00000000-0005-0000-0000-00007E120000}"/>
    <cellStyle name="Normal 26 2 2 5 2" xfId="4876" xr:uid="{00000000-0005-0000-0000-00007F120000}"/>
    <cellStyle name="Normal 26 2 2 6" xfId="3037" xr:uid="{00000000-0005-0000-0000-000080120000}"/>
    <cellStyle name="Normal 26 2 3" xfId="344" xr:uid="{00000000-0005-0000-0000-000081120000}"/>
    <cellStyle name="Normal 26 2 3 2" xfId="796" xr:uid="{00000000-0005-0000-0000-000082120000}"/>
    <cellStyle name="Normal 26 2 3 2 2" xfId="1746" xr:uid="{00000000-0005-0000-0000-000083120000}"/>
    <cellStyle name="Normal 26 2 3 2 2 2" xfId="4483" xr:uid="{00000000-0005-0000-0000-000084120000}"/>
    <cellStyle name="Normal 26 2 3 2 3" xfId="2638" xr:uid="{00000000-0005-0000-0000-000085120000}"/>
    <cellStyle name="Normal 26 2 3 2 3 2" xfId="5375" xr:uid="{00000000-0005-0000-0000-000086120000}"/>
    <cellStyle name="Normal 26 2 3 2 4" xfId="3536" xr:uid="{00000000-0005-0000-0000-000087120000}"/>
    <cellStyle name="Normal 26 2 3 3" xfId="1299" xr:uid="{00000000-0005-0000-0000-000088120000}"/>
    <cellStyle name="Normal 26 2 3 3 2" xfId="4036" xr:uid="{00000000-0005-0000-0000-000089120000}"/>
    <cellStyle name="Normal 26 2 3 4" xfId="2191" xr:uid="{00000000-0005-0000-0000-00008A120000}"/>
    <cellStyle name="Normal 26 2 3 4 2" xfId="4928" xr:uid="{00000000-0005-0000-0000-00008B120000}"/>
    <cellStyle name="Normal 26 2 3 5" xfId="3089" xr:uid="{00000000-0005-0000-0000-00008C120000}"/>
    <cellStyle name="Normal 26 2 4" xfId="434" xr:uid="{00000000-0005-0000-0000-00008D120000}"/>
    <cellStyle name="Normal 26 2 4 2" xfId="882" xr:uid="{00000000-0005-0000-0000-00008E120000}"/>
    <cellStyle name="Normal 26 2 4 2 2" xfId="1832" xr:uid="{00000000-0005-0000-0000-00008F120000}"/>
    <cellStyle name="Normal 26 2 4 2 2 2" xfId="4569" xr:uid="{00000000-0005-0000-0000-000090120000}"/>
    <cellStyle name="Normal 26 2 4 2 3" xfId="2724" xr:uid="{00000000-0005-0000-0000-000091120000}"/>
    <cellStyle name="Normal 26 2 4 2 3 2" xfId="5461" xr:uid="{00000000-0005-0000-0000-000092120000}"/>
    <cellStyle name="Normal 26 2 4 2 4" xfId="3622" xr:uid="{00000000-0005-0000-0000-000093120000}"/>
    <cellStyle name="Normal 26 2 4 3" xfId="1385" xr:uid="{00000000-0005-0000-0000-000094120000}"/>
    <cellStyle name="Normal 26 2 4 3 2" xfId="4122" xr:uid="{00000000-0005-0000-0000-000095120000}"/>
    <cellStyle name="Normal 26 2 4 4" xfId="2277" xr:uid="{00000000-0005-0000-0000-000096120000}"/>
    <cellStyle name="Normal 26 2 4 4 2" xfId="5014" xr:uid="{00000000-0005-0000-0000-000097120000}"/>
    <cellStyle name="Normal 26 2 4 5" xfId="3175" xr:uid="{00000000-0005-0000-0000-000098120000}"/>
    <cellStyle name="Normal 26 2 5" xfId="598" xr:uid="{00000000-0005-0000-0000-000099120000}"/>
    <cellStyle name="Normal 26 2 5 2" xfId="1548" xr:uid="{00000000-0005-0000-0000-00009A120000}"/>
    <cellStyle name="Normal 26 2 5 2 2" xfId="4285" xr:uid="{00000000-0005-0000-0000-00009B120000}"/>
    <cellStyle name="Normal 26 2 5 3" xfId="2440" xr:uid="{00000000-0005-0000-0000-00009C120000}"/>
    <cellStyle name="Normal 26 2 5 3 2" xfId="5177" xr:uid="{00000000-0005-0000-0000-00009D120000}"/>
    <cellStyle name="Normal 26 2 5 4" xfId="3338" xr:uid="{00000000-0005-0000-0000-00009E120000}"/>
    <cellStyle name="Normal 26 2 6" xfId="1046" xr:uid="{00000000-0005-0000-0000-00009F120000}"/>
    <cellStyle name="Normal 26 2 6 2" xfId="3785" xr:uid="{00000000-0005-0000-0000-0000A0120000}"/>
    <cellStyle name="Normal 26 2 7" xfId="1136" xr:uid="{00000000-0005-0000-0000-0000A1120000}"/>
    <cellStyle name="Normal 26 2 7 2" xfId="3873" xr:uid="{00000000-0005-0000-0000-0000A2120000}"/>
    <cellStyle name="Normal 26 2 8" xfId="2028" xr:uid="{00000000-0005-0000-0000-0000A3120000}"/>
    <cellStyle name="Normal 26 2 8 2" xfId="4765" xr:uid="{00000000-0005-0000-0000-0000A4120000}"/>
    <cellStyle name="Normal 26 2 9" xfId="2926" xr:uid="{00000000-0005-0000-0000-0000A5120000}"/>
    <cellStyle name="Normal 26 3" xfId="205" xr:uid="{00000000-0005-0000-0000-0000A6120000}"/>
    <cellStyle name="Normal 26 3 2" xfId="459" xr:uid="{00000000-0005-0000-0000-0000A7120000}"/>
    <cellStyle name="Normal 26 3 2 2" xfId="907" xr:uid="{00000000-0005-0000-0000-0000A8120000}"/>
    <cellStyle name="Normal 26 3 2 2 2" xfId="1857" xr:uid="{00000000-0005-0000-0000-0000A9120000}"/>
    <cellStyle name="Normal 26 3 2 2 2 2" xfId="4594" xr:uid="{00000000-0005-0000-0000-0000AA120000}"/>
    <cellStyle name="Normal 26 3 2 2 3" xfId="2749" xr:uid="{00000000-0005-0000-0000-0000AB120000}"/>
    <cellStyle name="Normal 26 3 2 2 3 2" xfId="5486" xr:uid="{00000000-0005-0000-0000-0000AC120000}"/>
    <cellStyle name="Normal 26 3 2 2 4" xfId="3647" xr:uid="{00000000-0005-0000-0000-0000AD120000}"/>
    <cellStyle name="Normal 26 3 2 3" xfId="1410" xr:uid="{00000000-0005-0000-0000-0000AE120000}"/>
    <cellStyle name="Normal 26 3 2 3 2" xfId="4147" xr:uid="{00000000-0005-0000-0000-0000AF120000}"/>
    <cellStyle name="Normal 26 3 2 4" xfId="2302" xr:uid="{00000000-0005-0000-0000-0000B0120000}"/>
    <cellStyle name="Normal 26 3 2 4 2" xfId="5039" xr:uid="{00000000-0005-0000-0000-0000B1120000}"/>
    <cellStyle name="Normal 26 3 2 5" xfId="3200" xr:uid="{00000000-0005-0000-0000-0000B2120000}"/>
    <cellStyle name="Normal 26 3 3" xfId="662" xr:uid="{00000000-0005-0000-0000-0000B3120000}"/>
    <cellStyle name="Normal 26 3 3 2" xfId="1612" xr:uid="{00000000-0005-0000-0000-0000B4120000}"/>
    <cellStyle name="Normal 26 3 3 2 2" xfId="4349" xr:uid="{00000000-0005-0000-0000-0000B5120000}"/>
    <cellStyle name="Normal 26 3 3 3" xfId="2504" xr:uid="{00000000-0005-0000-0000-0000B6120000}"/>
    <cellStyle name="Normal 26 3 3 3 2" xfId="5241" xr:uid="{00000000-0005-0000-0000-0000B7120000}"/>
    <cellStyle name="Normal 26 3 3 4" xfId="3402" xr:uid="{00000000-0005-0000-0000-0000B8120000}"/>
    <cellStyle name="Normal 26 3 4" xfId="1161" xr:uid="{00000000-0005-0000-0000-0000B9120000}"/>
    <cellStyle name="Normal 26 3 4 2" xfId="3898" xr:uid="{00000000-0005-0000-0000-0000BA120000}"/>
    <cellStyle name="Normal 26 3 5" xfId="2053" xr:uid="{00000000-0005-0000-0000-0000BB120000}"/>
    <cellStyle name="Normal 26 3 5 2" xfId="4790" xr:uid="{00000000-0005-0000-0000-0000BC120000}"/>
    <cellStyle name="Normal 26 3 6" xfId="2951" xr:uid="{00000000-0005-0000-0000-0000BD120000}"/>
    <cellStyle name="Normal 26 4" xfId="250" xr:uid="{00000000-0005-0000-0000-0000BE120000}"/>
    <cellStyle name="Normal 26 4 2" xfId="504" xr:uid="{00000000-0005-0000-0000-0000BF120000}"/>
    <cellStyle name="Normal 26 4 2 2" xfId="952" xr:uid="{00000000-0005-0000-0000-0000C0120000}"/>
    <cellStyle name="Normal 26 4 2 2 2" xfId="1902" xr:uid="{00000000-0005-0000-0000-0000C1120000}"/>
    <cellStyle name="Normal 26 4 2 2 2 2" xfId="4639" xr:uid="{00000000-0005-0000-0000-0000C2120000}"/>
    <cellStyle name="Normal 26 4 2 2 3" xfId="2794" xr:uid="{00000000-0005-0000-0000-0000C3120000}"/>
    <cellStyle name="Normal 26 4 2 2 3 2" xfId="5531" xr:uid="{00000000-0005-0000-0000-0000C4120000}"/>
    <cellStyle name="Normal 26 4 2 2 4" xfId="3692" xr:uid="{00000000-0005-0000-0000-0000C5120000}"/>
    <cellStyle name="Normal 26 4 2 3" xfId="1455" xr:uid="{00000000-0005-0000-0000-0000C6120000}"/>
    <cellStyle name="Normal 26 4 2 3 2" xfId="4192" xr:uid="{00000000-0005-0000-0000-0000C7120000}"/>
    <cellStyle name="Normal 26 4 2 4" xfId="2347" xr:uid="{00000000-0005-0000-0000-0000C8120000}"/>
    <cellStyle name="Normal 26 4 2 4 2" xfId="5084" xr:uid="{00000000-0005-0000-0000-0000C9120000}"/>
    <cellStyle name="Normal 26 4 2 5" xfId="3245" xr:uid="{00000000-0005-0000-0000-0000CA120000}"/>
    <cellStyle name="Normal 26 4 3" xfId="703" xr:uid="{00000000-0005-0000-0000-0000CB120000}"/>
    <cellStyle name="Normal 26 4 3 2" xfId="1653" xr:uid="{00000000-0005-0000-0000-0000CC120000}"/>
    <cellStyle name="Normal 26 4 3 2 2" xfId="4390" xr:uid="{00000000-0005-0000-0000-0000CD120000}"/>
    <cellStyle name="Normal 26 4 3 3" xfId="2545" xr:uid="{00000000-0005-0000-0000-0000CE120000}"/>
    <cellStyle name="Normal 26 4 3 3 2" xfId="5282" xr:uid="{00000000-0005-0000-0000-0000CF120000}"/>
    <cellStyle name="Normal 26 4 3 4" xfId="3443" xr:uid="{00000000-0005-0000-0000-0000D0120000}"/>
    <cellStyle name="Normal 26 4 4" xfId="1206" xr:uid="{00000000-0005-0000-0000-0000D1120000}"/>
    <cellStyle name="Normal 26 4 4 2" xfId="3943" xr:uid="{00000000-0005-0000-0000-0000D2120000}"/>
    <cellStyle name="Normal 26 4 5" xfId="2098" xr:uid="{00000000-0005-0000-0000-0000D3120000}"/>
    <cellStyle name="Normal 26 4 5 2" xfId="4835" xr:uid="{00000000-0005-0000-0000-0000D4120000}"/>
    <cellStyle name="Normal 26 4 6" xfId="2996" xr:uid="{00000000-0005-0000-0000-0000D5120000}"/>
    <cellStyle name="Normal 26 5" xfId="316" xr:uid="{00000000-0005-0000-0000-0000D6120000}"/>
    <cellStyle name="Normal 26 5 2" xfId="769" xr:uid="{00000000-0005-0000-0000-0000D7120000}"/>
    <cellStyle name="Normal 26 5 2 2" xfId="1719" xr:uid="{00000000-0005-0000-0000-0000D8120000}"/>
    <cellStyle name="Normal 26 5 2 2 2" xfId="4456" xr:uid="{00000000-0005-0000-0000-0000D9120000}"/>
    <cellStyle name="Normal 26 5 2 3" xfId="2611" xr:uid="{00000000-0005-0000-0000-0000DA120000}"/>
    <cellStyle name="Normal 26 5 2 3 2" xfId="5348" xr:uid="{00000000-0005-0000-0000-0000DB120000}"/>
    <cellStyle name="Normal 26 5 2 4" xfId="3509" xr:uid="{00000000-0005-0000-0000-0000DC120000}"/>
    <cellStyle name="Normal 26 5 3" xfId="1272" xr:uid="{00000000-0005-0000-0000-0000DD120000}"/>
    <cellStyle name="Normal 26 5 3 2" xfId="4009" xr:uid="{00000000-0005-0000-0000-0000DE120000}"/>
    <cellStyle name="Normal 26 5 4" xfId="2164" xr:uid="{00000000-0005-0000-0000-0000DF120000}"/>
    <cellStyle name="Normal 26 5 4 2" xfId="4901" xr:uid="{00000000-0005-0000-0000-0000E0120000}"/>
    <cellStyle name="Normal 26 5 5" xfId="3062" xr:uid="{00000000-0005-0000-0000-0000E1120000}"/>
    <cellStyle name="Normal 26 6" xfId="393" xr:uid="{00000000-0005-0000-0000-0000E2120000}"/>
    <cellStyle name="Normal 26 6 2" xfId="841" xr:uid="{00000000-0005-0000-0000-0000E3120000}"/>
    <cellStyle name="Normal 26 6 2 2" xfId="1791" xr:uid="{00000000-0005-0000-0000-0000E4120000}"/>
    <cellStyle name="Normal 26 6 2 2 2" xfId="4528" xr:uid="{00000000-0005-0000-0000-0000E5120000}"/>
    <cellStyle name="Normal 26 6 2 3" xfId="2683" xr:uid="{00000000-0005-0000-0000-0000E6120000}"/>
    <cellStyle name="Normal 26 6 2 3 2" xfId="5420" xr:uid="{00000000-0005-0000-0000-0000E7120000}"/>
    <cellStyle name="Normal 26 6 2 4" xfId="3581" xr:uid="{00000000-0005-0000-0000-0000E8120000}"/>
    <cellStyle name="Normal 26 6 3" xfId="1344" xr:uid="{00000000-0005-0000-0000-0000E9120000}"/>
    <cellStyle name="Normal 26 6 3 2" xfId="4081" xr:uid="{00000000-0005-0000-0000-0000EA120000}"/>
    <cellStyle name="Normal 26 6 4" xfId="2236" xr:uid="{00000000-0005-0000-0000-0000EB120000}"/>
    <cellStyle name="Normal 26 6 4 2" xfId="4973" xr:uid="{00000000-0005-0000-0000-0000EC120000}"/>
    <cellStyle name="Normal 26 6 5" xfId="3134" xr:uid="{00000000-0005-0000-0000-0000ED120000}"/>
    <cellStyle name="Normal 26 7" xfId="571" xr:uid="{00000000-0005-0000-0000-0000EE120000}"/>
    <cellStyle name="Normal 26 7 2" xfId="1521" xr:uid="{00000000-0005-0000-0000-0000EF120000}"/>
    <cellStyle name="Normal 26 7 2 2" xfId="4258" xr:uid="{00000000-0005-0000-0000-0000F0120000}"/>
    <cellStyle name="Normal 26 7 3" xfId="2413" xr:uid="{00000000-0005-0000-0000-0000F1120000}"/>
    <cellStyle name="Normal 26 7 3 2" xfId="5150" xr:uid="{00000000-0005-0000-0000-0000F2120000}"/>
    <cellStyle name="Normal 26 7 4" xfId="3311" xr:uid="{00000000-0005-0000-0000-0000F3120000}"/>
    <cellStyle name="Normal 26 8" xfId="1019" xr:uid="{00000000-0005-0000-0000-0000F4120000}"/>
    <cellStyle name="Normal 26 8 2" xfId="3758" xr:uid="{00000000-0005-0000-0000-0000F5120000}"/>
    <cellStyle name="Normal 26 9" xfId="1095" xr:uid="{00000000-0005-0000-0000-0000F6120000}"/>
    <cellStyle name="Normal 26 9 2" xfId="3832" xr:uid="{00000000-0005-0000-0000-0000F7120000}"/>
    <cellStyle name="Normal 27" xfId="137" xr:uid="{00000000-0005-0000-0000-0000F8120000}"/>
    <cellStyle name="Normal 27 10" xfId="1988" xr:uid="{00000000-0005-0000-0000-0000F9120000}"/>
    <cellStyle name="Normal 27 10 2" xfId="4725" xr:uid="{00000000-0005-0000-0000-0000FA120000}"/>
    <cellStyle name="Normal 27 11" xfId="2886" xr:uid="{00000000-0005-0000-0000-0000FB120000}"/>
    <cellStyle name="Normal 27 2" xfId="179" xr:uid="{00000000-0005-0000-0000-0000FC120000}"/>
    <cellStyle name="Normal 27 2 2" xfId="292" xr:uid="{00000000-0005-0000-0000-0000FD120000}"/>
    <cellStyle name="Normal 27 2 2 2" xfId="546" xr:uid="{00000000-0005-0000-0000-0000FE120000}"/>
    <cellStyle name="Normal 27 2 2 2 2" xfId="994" xr:uid="{00000000-0005-0000-0000-0000FF120000}"/>
    <cellStyle name="Normal 27 2 2 2 2 2" xfId="1944" xr:uid="{00000000-0005-0000-0000-000000130000}"/>
    <cellStyle name="Normal 27 2 2 2 2 2 2" xfId="4681" xr:uid="{00000000-0005-0000-0000-000001130000}"/>
    <cellStyle name="Normal 27 2 2 2 2 3" xfId="2836" xr:uid="{00000000-0005-0000-0000-000002130000}"/>
    <cellStyle name="Normal 27 2 2 2 2 3 2" xfId="5573" xr:uid="{00000000-0005-0000-0000-000003130000}"/>
    <cellStyle name="Normal 27 2 2 2 2 4" xfId="3734" xr:uid="{00000000-0005-0000-0000-000004130000}"/>
    <cellStyle name="Normal 27 2 2 2 3" xfId="1497" xr:uid="{00000000-0005-0000-0000-000005130000}"/>
    <cellStyle name="Normal 27 2 2 2 3 2" xfId="4234" xr:uid="{00000000-0005-0000-0000-000006130000}"/>
    <cellStyle name="Normal 27 2 2 2 4" xfId="2389" xr:uid="{00000000-0005-0000-0000-000007130000}"/>
    <cellStyle name="Normal 27 2 2 2 4 2" xfId="5126" xr:uid="{00000000-0005-0000-0000-000008130000}"/>
    <cellStyle name="Normal 27 2 2 2 5" xfId="3287" xr:uid="{00000000-0005-0000-0000-000009130000}"/>
    <cellStyle name="Normal 27 2 2 3" xfId="745" xr:uid="{00000000-0005-0000-0000-00000A130000}"/>
    <cellStyle name="Normal 27 2 2 3 2" xfId="1695" xr:uid="{00000000-0005-0000-0000-00000B130000}"/>
    <cellStyle name="Normal 27 2 2 3 2 2" xfId="4432" xr:uid="{00000000-0005-0000-0000-00000C130000}"/>
    <cellStyle name="Normal 27 2 2 3 3" xfId="2587" xr:uid="{00000000-0005-0000-0000-00000D130000}"/>
    <cellStyle name="Normal 27 2 2 3 3 2" xfId="5324" xr:uid="{00000000-0005-0000-0000-00000E130000}"/>
    <cellStyle name="Normal 27 2 2 3 4" xfId="3485" xr:uid="{00000000-0005-0000-0000-00000F130000}"/>
    <cellStyle name="Normal 27 2 2 4" xfId="1248" xr:uid="{00000000-0005-0000-0000-000010130000}"/>
    <cellStyle name="Normal 27 2 2 4 2" xfId="3985" xr:uid="{00000000-0005-0000-0000-000011130000}"/>
    <cellStyle name="Normal 27 2 2 5" xfId="2140" xr:uid="{00000000-0005-0000-0000-000012130000}"/>
    <cellStyle name="Normal 27 2 2 5 2" xfId="4877" xr:uid="{00000000-0005-0000-0000-000013130000}"/>
    <cellStyle name="Normal 27 2 2 6" xfId="3038" xr:uid="{00000000-0005-0000-0000-000014130000}"/>
    <cellStyle name="Normal 27 2 3" xfId="345" xr:uid="{00000000-0005-0000-0000-000015130000}"/>
    <cellStyle name="Normal 27 2 3 2" xfId="797" xr:uid="{00000000-0005-0000-0000-000016130000}"/>
    <cellStyle name="Normal 27 2 3 2 2" xfId="1747" xr:uid="{00000000-0005-0000-0000-000017130000}"/>
    <cellStyle name="Normal 27 2 3 2 2 2" xfId="4484" xr:uid="{00000000-0005-0000-0000-000018130000}"/>
    <cellStyle name="Normal 27 2 3 2 3" xfId="2639" xr:uid="{00000000-0005-0000-0000-000019130000}"/>
    <cellStyle name="Normal 27 2 3 2 3 2" xfId="5376" xr:uid="{00000000-0005-0000-0000-00001A130000}"/>
    <cellStyle name="Normal 27 2 3 2 4" xfId="3537" xr:uid="{00000000-0005-0000-0000-00001B130000}"/>
    <cellStyle name="Normal 27 2 3 3" xfId="1300" xr:uid="{00000000-0005-0000-0000-00001C130000}"/>
    <cellStyle name="Normal 27 2 3 3 2" xfId="4037" xr:uid="{00000000-0005-0000-0000-00001D130000}"/>
    <cellStyle name="Normal 27 2 3 4" xfId="2192" xr:uid="{00000000-0005-0000-0000-00001E130000}"/>
    <cellStyle name="Normal 27 2 3 4 2" xfId="4929" xr:uid="{00000000-0005-0000-0000-00001F130000}"/>
    <cellStyle name="Normal 27 2 3 5" xfId="3090" xr:uid="{00000000-0005-0000-0000-000020130000}"/>
    <cellStyle name="Normal 27 2 4" xfId="435" xr:uid="{00000000-0005-0000-0000-000021130000}"/>
    <cellStyle name="Normal 27 2 4 2" xfId="883" xr:uid="{00000000-0005-0000-0000-000022130000}"/>
    <cellStyle name="Normal 27 2 4 2 2" xfId="1833" xr:uid="{00000000-0005-0000-0000-000023130000}"/>
    <cellStyle name="Normal 27 2 4 2 2 2" xfId="4570" xr:uid="{00000000-0005-0000-0000-000024130000}"/>
    <cellStyle name="Normal 27 2 4 2 3" xfId="2725" xr:uid="{00000000-0005-0000-0000-000025130000}"/>
    <cellStyle name="Normal 27 2 4 2 3 2" xfId="5462" xr:uid="{00000000-0005-0000-0000-000026130000}"/>
    <cellStyle name="Normal 27 2 4 2 4" xfId="3623" xr:uid="{00000000-0005-0000-0000-000027130000}"/>
    <cellStyle name="Normal 27 2 4 3" xfId="1386" xr:uid="{00000000-0005-0000-0000-000028130000}"/>
    <cellStyle name="Normal 27 2 4 3 2" xfId="4123" xr:uid="{00000000-0005-0000-0000-000029130000}"/>
    <cellStyle name="Normal 27 2 4 4" xfId="2278" xr:uid="{00000000-0005-0000-0000-00002A130000}"/>
    <cellStyle name="Normal 27 2 4 4 2" xfId="5015" xr:uid="{00000000-0005-0000-0000-00002B130000}"/>
    <cellStyle name="Normal 27 2 4 5" xfId="3176" xr:uid="{00000000-0005-0000-0000-00002C130000}"/>
    <cellStyle name="Normal 27 2 5" xfId="599" xr:uid="{00000000-0005-0000-0000-00002D130000}"/>
    <cellStyle name="Normal 27 2 5 2" xfId="1549" xr:uid="{00000000-0005-0000-0000-00002E130000}"/>
    <cellStyle name="Normal 27 2 5 2 2" xfId="4286" xr:uid="{00000000-0005-0000-0000-00002F130000}"/>
    <cellStyle name="Normal 27 2 5 3" xfId="2441" xr:uid="{00000000-0005-0000-0000-000030130000}"/>
    <cellStyle name="Normal 27 2 5 3 2" xfId="5178" xr:uid="{00000000-0005-0000-0000-000031130000}"/>
    <cellStyle name="Normal 27 2 5 4" xfId="3339" xr:uid="{00000000-0005-0000-0000-000032130000}"/>
    <cellStyle name="Normal 27 2 6" xfId="1047" xr:uid="{00000000-0005-0000-0000-000033130000}"/>
    <cellStyle name="Normal 27 2 6 2" xfId="3786" xr:uid="{00000000-0005-0000-0000-000034130000}"/>
    <cellStyle name="Normal 27 2 7" xfId="1137" xr:uid="{00000000-0005-0000-0000-000035130000}"/>
    <cellStyle name="Normal 27 2 7 2" xfId="3874" xr:uid="{00000000-0005-0000-0000-000036130000}"/>
    <cellStyle name="Normal 27 2 8" xfId="2029" xr:uid="{00000000-0005-0000-0000-000037130000}"/>
    <cellStyle name="Normal 27 2 8 2" xfId="4766" xr:uid="{00000000-0005-0000-0000-000038130000}"/>
    <cellStyle name="Normal 27 2 9" xfId="2927" xr:uid="{00000000-0005-0000-0000-000039130000}"/>
    <cellStyle name="Normal 27 3" xfId="206" xr:uid="{00000000-0005-0000-0000-00003A130000}"/>
    <cellStyle name="Normal 27 3 2" xfId="460" xr:uid="{00000000-0005-0000-0000-00003B130000}"/>
    <cellStyle name="Normal 27 3 2 2" xfId="908" xr:uid="{00000000-0005-0000-0000-00003C130000}"/>
    <cellStyle name="Normal 27 3 2 2 2" xfId="1858" xr:uid="{00000000-0005-0000-0000-00003D130000}"/>
    <cellStyle name="Normal 27 3 2 2 2 2" xfId="4595" xr:uid="{00000000-0005-0000-0000-00003E130000}"/>
    <cellStyle name="Normal 27 3 2 2 3" xfId="2750" xr:uid="{00000000-0005-0000-0000-00003F130000}"/>
    <cellStyle name="Normal 27 3 2 2 3 2" xfId="5487" xr:uid="{00000000-0005-0000-0000-000040130000}"/>
    <cellStyle name="Normal 27 3 2 2 4" xfId="3648" xr:uid="{00000000-0005-0000-0000-000041130000}"/>
    <cellStyle name="Normal 27 3 2 3" xfId="1411" xr:uid="{00000000-0005-0000-0000-000042130000}"/>
    <cellStyle name="Normal 27 3 2 3 2" xfId="4148" xr:uid="{00000000-0005-0000-0000-000043130000}"/>
    <cellStyle name="Normal 27 3 2 4" xfId="2303" xr:uid="{00000000-0005-0000-0000-000044130000}"/>
    <cellStyle name="Normal 27 3 2 4 2" xfId="5040" xr:uid="{00000000-0005-0000-0000-000045130000}"/>
    <cellStyle name="Normal 27 3 2 5" xfId="3201" xr:uid="{00000000-0005-0000-0000-000046130000}"/>
    <cellStyle name="Normal 27 3 3" xfId="663" xr:uid="{00000000-0005-0000-0000-000047130000}"/>
    <cellStyle name="Normal 27 3 3 2" xfId="1613" xr:uid="{00000000-0005-0000-0000-000048130000}"/>
    <cellStyle name="Normal 27 3 3 2 2" xfId="4350" xr:uid="{00000000-0005-0000-0000-000049130000}"/>
    <cellStyle name="Normal 27 3 3 3" xfId="2505" xr:uid="{00000000-0005-0000-0000-00004A130000}"/>
    <cellStyle name="Normal 27 3 3 3 2" xfId="5242" xr:uid="{00000000-0005-0000-0000-00004B130000}"/>
    <cellStyle name="Normal 27 3 3 4" xfId="3403" xr:uid="{00000000-0005-0000-0000-00004C130000}"/>
    <cellStyle name="Normal 27 3 4" xfId="1162" xr:uid="{00000000-0005-0000-0000-00004D130000}"/>
    <cellStyle name="Normal 27 3 4 2" xfId="3899" xr:uid="{00000000-0005-0000-0000-00004E130000}"/>
    <cellStyle name="Normal 27 3 5" xfId="2054" xr:uid="{00000000-0005-0000-0000-00004F130000}"/>
    <cellStyle name="Normal 27 3 5 2" xfId="4791" xr:uid="{00000000-0005-0000-0000-000050130000}"/>
    <cellStyle name="Normal 27 3 6" xfId="2952" xr:uid="{00000000-0005-0000-0000-000051130000}"/>
    <cellStyle name="Normal 27 4" xfId="251" xr:uid="{00000000-0005-0000-0000-000052130000}"/>
    <cellStyle name="Normal 27 4 2" xfId="505" xr:uid="{00000000-0005-0000-0000-000053130000}"/>
    <cellStyle name="Normal 27 4 2 2" xfId="953" xr:uid="{00000000-0005-0000-0000-000054130000}"/>
    <cellStyle name="Normal 27 4 2 2 2" xfId="1903" xr:uid="{00000000-0005-0000-0000-000055130000}"/>
    <cellStyle name="Normal 27 4 2 2 2 2" xfId="4640" xr:uid="{00000000-0005-0000-0000-000056130000}"/>
    <cellStyle name="Normal 27 4 2 2 3" xfId="2795" xr:uid="{00000000-0005-0000-0000-000057130000}"/>
    <cellStyle name="Normal 27 4 2 2 3 2" xfId="5532" xr:uid="{00000000-0005-0000-0000-000058130000}"/>
    <cellStyle name="Normal 27 4 2 2 4" xfId="3693" xr:uid="{00000000-0005-0000-0000-000059130000}"/>
    <cellStyle name="Normal 27 4 2 3" xfId="1456" xr:uid="{00000000-0005-0000-0000-00005A130000}"/>
    <cellStyle name="Normal 27 4 2 3 2" xfId="4193" xr:uid="{00000000-0005-0000-0000-00005B130000}"/>
    <cellStyle name="Normal 27 4 2 4" xfId="2348" xr:uid="{00000000-0005-0000-0000-00005C130000}"/>
    <cellStyle name="Normal 27 4 2 4 2" xfId="5085" xr:uid="{00000000-0005-0000-0000-00005D130000}"/>
    <cellStyle name="Normal 27 4 2 5" xfId="3246" xr:uid="{00000000-0005-0000-0000-00005E130000}"/>
    <cellStyle name="Normal 27 4 3" xfId="704" xr:uid="{00000000-0005-0000-0000-00005F130000}"/>
    <cellStyle name="Normal 27 4 3 2" xfId="1654" xr:uid="{00000000-0005-0000-0000-000060130000}"/>
    <cellStyle name="Normal 27 4 3 2 2" xfId="4391" xr:uid="{00000000-0005-0000-0000-000061130000}"/>
    <cellStyle name="Normal 27 4 3 3" xfId="2546" xr:uid="{00000000-0005-0000-0000-000062130000}"/>
    <cellStyle name="Normal 27 4 3 3 2" xfId="5283" xr:uid="{00000000-0005-0000-0000-000063130000}"/>
    <cellStyle name="Normal 27 4 3 4" xfId="3444" xr:uid="{00000000-0005-0000-0000-000064130000}"/>
    <cellStyle name="Normal 27 4 4" xfId="1207" xr:uid="{00000000-0005-0000-0000-000065130000}"/>
    <cellStyle name="Normal 27 4 4 2" xfId="3944" xr:uid="{00000000-0005-0000-0000-000066130000}"/>
    <cellStyle name="Normal 27 4 5" xfId="2099" xr:uid="{00000000-0005-0000-0000-000067130000}"/>
    <cellStyle name="Normal 27 4 5 2" xfId="4836" xr:uid="{00000000-0005-0000-0000-000068130000}"/>
    <cellStyle name="Normal 27 4 6" xfId="2997" xr:uid="{00000000-0005-0000-0000-000069130000}"/>
    <cellStyle name="Normal 27 5" xfId="317" xr:uid="{00000000-0005-0000-0000-00006A130000}"/>
    <cellStyle name="Normal 27 5 2" xfId="770" xr:uid="{00000000-0005-0000-0000-00006B130000}"/>
    <cellStyle name="Normal 27 5 2 2" xfId="1720" xr:uid="{00000000-0005-0000-0000-00006C130000}"/>
    <cellStyle name="Normal 27 5 2 2 2" xfId="4457" xr:uid="{00000000-0005-0000-0000-00006D130000}"/>
    <cellStyle name="Normal 27 5 2 3" xfId="2612" xr:uid="{00000000-0005-0000-0000-00006E130000}"/>
    <cellStyle name="Normal 27 5 2 3 2" xfId="5349" xr:uid="{00000000-0005-0000-0000-00006F130000}"/>
    <cellStyle name="Normal 27 5 2 4" xfId="3510" xr:uid="{00000000-0005-0000-0000-000070130000}"/>
    <cellStyle name="Normal 27 5 3" xfId="1273" xr:uid="{00000000-0005-0000-0000-000071130000}"/>
    <cellStyle name="Normal 27 5 3 2" xfId="4010" xr:uid="{00000000-0005-0000-0000-000072130000}"/>
    <cellStyle name="Normal 27 5 4" xfId="2165" xr:uid="{00000000-0005-0000-0000-000073130000}"/>
    <cellStyle name="Normal 27 5 4 2" xfId="4902" xr:uid="{00000000-0005-0000-0000-000074130000}"/>
    <cellStyle name="Normal 27 5 5" xfId="3063" xr:uid="{00000000-0005-0000-0000-000075130000}"/>
    <cellStyle name="Normal 27 6" xfId="394" xr:uid="{00000000-0005-0000-0000-000076130000}"/>
    <cellStyle name="Normal 27 6 2" xfId="842" xr:uid="{00000000-0005-0000-0000-000077130000}"/>
    <cellStyle name="Normal 27 6 2 2" xfId="1792" xr:uid="{00000000-0005-0000-0000-000078130000}"/>
    <cellStyle name="Normal 27 6 2 2 2" xfId="4529" xr:uid="{00000000-0005-0000-0000-000079130000}"/>
    <cellStyle name="Normal 27 6 2 3" xfId="2684" xr:uid="{00000000-0005-0000-0000-00007A130000}"/>
    <cellStyle name="Normal 27 6 2 3 2" xfId="5421" xr:uid="{00000000-0005-0000-0000-00007B130000}"/>
    <cellStyle name="Normal 27 6 2 4" xfId="3582" xr:uid="{00000000-0005-0000-0000-00007C130000}"/>
    <cellStyle name="Normal 27 6 3" xfId="1345" xr:uid="{00000000-0005-0000-0000-00007D130000}"/>
    <cellStyle name="Normal 27 6 3 2" xfId="4082" xr:uid="{00000000-0005-0000-0000-00007E130000}"/>
    <cellStyle name="Normal 27 6 4" xfId="2237" xr:uid="{00000000-0005-0000-0000-00007F130000}"/>
    <cellStyle name="Normal 27 6 4 2" xfId="4974" xr:uid="{00000000-0005-0000-0000-000080130000}"/>
    <cellStyle name="Normal 27 6 5" xfId="3135" xr:uid="{00000000-0005-0000-0000-000081130000}"/>
    <cellStyle name="Normal 27 7" xfId="572" xr:uid="{00000000-0005-0000-0000-000082130000}"/>
    <cellStyle name="Normal 27 7 2" xfId="1522" xr:uid="{00000000-0005-0000-0000-000083130000}"/>
    <cellStyle name="Normal 27 7 2 2" xfId="4259" xr:uid="{00000000-0005-0000-0000-000084130000}"/>
    <cellStyle name="Normal 27 7 3" xfId="2414" xr:uid="{00000000-0005-0000-0000-000085130000}"/>
    <cellStyle name="Normal 27 7 3 2" xfId="5151" xr:uid="{00000000-0005-0000-0000-000086130000}"/>
    <cellStyle name="Normal 27 7 4" xfId="3312" xr:uid="{00000000-0005-0000-0000-000087130000}"/>
    <cellStyle name="Normal 27 8" xfId="1020" xr:uid="{00000000-0005-0000-0000-000088130000}"/>
    <cellStyle name="Normal 27 8 2" xfId="3759" xr:uid="{00000000-0005-0000-0000-000089130000}"/>
    <cellStyle name="Normal 27 9" xfId="1096" xr:uid="{00000000-0005-0000-0000-00008A130000}"/>
    <cellStyle name="Normal 27 9 2" xfId="3833" xr:uid="{00000000-0005-0000-0000-00008B130000}"/>
    <cellStyle name="Normal 28" xfId="138" xr:uid="{00000000-0005-0000-0000-00008C130000}"/>
    <cellStyle name="Normal 28 10" xfId="1989" xr:uid="{00000000-0005-0000-0000-00008D130000}"/>
    <cellStyle name="Normal 28 10 2" xfId="4726" xr:uid="{00000000-0005-0000-0000-00008E130000}"/>
    <cellStyle name="Normal 28 11" xfId="2887" xr:uid="{00000000-0005-0000-0000-00008F130000}"/>
    <cellStyle name="Normal 28 2" xfId="180" xr:uid="{00000000-0005-0000-0000-000090130000}"/>
    <cellStyle name="Normal 28 2 2" xfId="293" xr:uid="{00000000-0005-0000-0000-000091130000}"/>
    <cellStyle name="Normal 28 2 2 2" xfId="547" xr:uid="{00000000-0005-0000-0000-000092130000}"/>
    <cellStyle name="Normal 28 2 2 2 2" xfId="995" xr:uid="{00000000-0005-0000-0000-000093130000}"/>
    <cellStyle name="Normal 28 2 2 2 2 2" xfId="1945" xr:uid="{00000000-0005-0000-0000-000094130000}"/>
    <cellStyle name="Normal 28 2 2 2 2 2 2" xfId="4682" xr:uid="{00000000-0005-0000-0000-000095130000}"/>
    <cellStyle name="Normal 28 2 2 2 2 3" xfId="2837" xr:uid="{00000000-0005-0000-0000-000096130000}"/>
    <cellStyle name="Normal 28 2 2 2 2 3 2" xfId="5574" xr:uid="{00000000-0005-0000-0000-000097130000}"/>
    <cellStyle name="Normal 28 2 2 2 2 4" xfId="3735" xr:uid="{00000000-0005-0000-0000-000098130000}"/>
    <cellStyle name="Normal 28 2 2 2 3" xfId="1498" xr:uid="{00000000-0005-0000-0000-000099130000}"/>
    <cellStyle name="Normal 28 2 2 2 3 2" xfId="4235" xr:uid="{00000000-0005-0000-0000-00009A130000}"/>
    <cellStyle name="Normal 28 2 2 2 4" xfId="2390" xr:uid="{00000000-0005-0000-0000-00009B130000}"/>
    <cellStyle name="Normal 28 2 2 2 4 2" xfId="5127" xr:uid="{00000000-0005-0000-0000-00009C130000}"/>
    <cellStyle name="Normal 28 2 2 2 5" xfId="3288" xr:uid="{00000000-0005-0000-0000-00009D130000}"/>
    <cellStyle name="Normal 28 2 2 3" xfId="746" xr:uid="{00000000-0005-0000-0000-00009E130000}"/>
    <cellStyle name="Normal 28 2 2 3 2" xfId="1696" xr:uid="{00000000-0005-0000-0000-00009F130000}"/>
    <cellStyle name="Normal 28 2 2 3 2 2" xfId="4433" xr:uid="{00000000-0005-0000-0000-0000A0130000}"/>
    <cellStyle name="Normal 28 2 2 3 3" xfId="2588" xr:uid="{00000000-0005-0000-0000-0000A1130000}"/>
    <cellStyle name="Normal 28 2 2 3 3 2" xfId="5325" xr:uid="{00000000-0005-0000-0000-0000A2130000}"/>
    <cellStyle name="Normal 28 2 2 3 4" xfId="3486" xr:uid="{00000000-0005-0000-0000-0000A3130000}"/>
    <cellStyle name="Normal 28 2 2 4" xfId="1249" xr:uid="{00000000-0005-0000-0000-0000A4130000}"/>
    <cellStyle name="Normal 28 2 2 4 2" xfId="3986" xr:uid="{00000000-0005-0000-0000-0000A5130000}"/>
    <cellStyle name="Normal 28 2 2 5" xfId="2141" xr:uid="{00000000-0005-0000-0000-0000A6130000}"/>
    <cellStyle name="Normal 28 2 2 5 2" xfId="4878" xr:uid="{00000000-0005-0000-0000-0000A7130000}"/>
    <cellStyle name="Normal 28 2 2 6" xfId="3039" xr:uid="{00000000-0005-0000-0000-0000A8130000}"/>
    <cellStyle name="Normal 28 2 3" xfId="346" xr:uid="{00000000-0005-0000-0000-0000A9130000}"/>
    <cellStyle name="Normal 28 2 3 2" xfId="798" xr:uid="{00000000-0005-0000-0000-0000AA130000}"/>
    <cellStyle name="Normal 28 2 3 2 2" xfId="1748" xr:uid="{00000000-0005-0000-0000-0000AB130000}"/>
    <cellStyle name="Normal 28 2 3 2 2 2" xfId="4485" xr:uid="{00000000-0005-0000-0000-0000AC130000}"/>
    <cellStyle name="Normal 28 2 3 2 3" xfId="2640" xr:uid="{00000000-0005-0000-0000-0000AD130000}"/>
    <cellStyle name="Normal 28 2 3 2 3 2" xfId="5377" xr:uid="{00000000-0005-0000-0000-0000AE130000}"/>
    <cellStyle name="Normal 28 2 3 2 4" xfId="3538" xr:uid="{00000000-0005-0000-0000-0000AF130000}"/>
    <cellStyle name="Normal 28 2 3 3" xfId="1301" xr:uid="{00000000-0005-0000-0000-0000B0130000}"/>
    <cellStyle name="Normal 28 2 3 3 2" xfId="4038" xr:uid="{00000000-0005-0000-0000-0000B1130000}"/>
    <cellStyle name="Normal 28 2 3 4" xfId="2193" xr:uid="{00000000-0005-0000-0000-0000B2130000}"/>
    <cellStyle name="Normal 28 2 3 4 2" xfId="4930" xr:uid="{00000000-0005-0000-0000-0000B3130000}"/>
    <cellStyle name="Normal 28 2 3 5" xfId="3091" xr:uid="{00000000-0005-0000-0000-0000B4130000}"/>
    <cellStyle name="Normal 28 2 4" xfId="436" xr:uid="{00000000-0005-0000-0000-0000B5130000}"/>
    <cellStyle name="Normal 28 2 4 2" xfId="884" xr:uid="{00000000-0005-0000-0000-0000B6130000}"/>
    <cellStyle name="Normal 28 2 4 2 2" xfId="1834" xr:uid="{00000000-0005-0000-0000-0000B7130000}"/>
    <cellStyle name="Normal 28 2 4 2 2 2" xfId="4571" xr:uid="{00000000-0005-0000-0000-0000B8130000}"/>
    <cellStyle name="Normal 28 2 4 2 3" xfId="2726" xr:uid="{00000000-0005-0000-0000-0000B9130000}"/>
    <cellStyle name="Normal 28 2 4 2 3 2" xfId="5463" xr:uid="{00000000-0005-0000-0000-0000BA130000}"/>
    <cellStyle name="Normal 28 2 4 2 4" xfId="3624" xr:uid="{00000000-0005-0000-0000-0000BB130000}"/>
    <cellStyle name="Normal 28 2 4 3" xfId="1387" xr:uid="{00000000-0005-0000-0000-0000BC130000}"/>
    <cellStyle name="Normal 28 2 4 3 2" xfId="4124" xr:uid="{00000000-0005-0000-0000-0000BD130000}"/>
    <cellStyle name="Normal 28 2 4 4" xfId="2279" xr:uid="{00000000-0005-0000-0000-0000BE130000}"/>
    <cellStyle name="Normal 28 2 4 4 2" xfId="5016" xr:uid="{00000000-0005-0000-0000-0000BF130000}"/>
    <cellStyle name="Normal 28 2 4 5" xfId="3177" xr:uid="{00000000-0005-0000-0000-0000C0130000}"/>
    <cellStyle name="Normal 28 2 5" xfId="600" xr:uid="{00000000-0005-0000-0000-0000C1130000}"/>
    <cellStyle name="Normal 28 2 5 2" xfId="1550" xr:uid="{00000000-0005-0000-0000-0000C2130000}"/>
    <cellStyle name="Normal 28 2 5 2 2" xfId="4287" xr:uid="{00000000-0005-0000-0000-0000C3130000}"/>
    <cellStyle name="Normal 28 2 5 3" xfId="2442" xr:uid="{00000000-0005-0000-0000-0000C4130000}"/>
    <cellStyle name="Normal 28 2 5 3 2" xfId="5179" xr:uid="{00000000-0005-0000-0000-0000C5130000}"/>
    <cellStyle name="Normal 28 2 5 4" xfId="3340" xr:uid="{00000000-0005-0000-0000-0000C6130000}"/>
    <cellStyle name="Normal 28 2 6" xfId="1048" xr:uid="{00000000-0005-0000-0000-0000C7130000}"/>
    <cellStyle name="Normal 28 2 6 2" xfId="3787" xr:uid="{00000000-0005-0000-0000-0000C8130000}"/>
    <cellStyle name="Normal 28 2 7" xfId="1138" xr:uid="{00000000-0005-0000-0000-0000C9130000}"/>
    <cellStyle name="Normal 28 2 7 2" xfId="3875" xr:uid="{00000000-0005-0000-0000-0000CA130000}"/>
    <cellStyle name="Normal 28 2 8" xfId="2030" xr:uid="{00000000-0005-0000-0000-0000CB130000}"/>
    <cellStyle name="Normal 28 2 8 2" xfId="4767" xr:uid="{00000000-0005-0000-0000-0000CC130000}"/>
    <cellStyle name="Normal 28 2 9" xfId="2928" xr:uid="{00000000-0005-0000-0000-0000CD130000}"/>
    <cellStyle name="Normal 28 3" xfId="207" xr:uid="{00000000-0005-0000-0000-0000CE130000}"/>
    <cellStyle name="Normal 28 3 2" xfId="461" xr:uid="{00000000-0005-0000-0000-0000CF130000}"/>
    <cellStyle name="Normal 28 3 2 2" xfId="909" xr:uid="{00000000-0005-0000-0000-0000D0130000}"/>
    <cellStyle name="Normal 28 3 2 2 2" xfId="1859" xr:uid="{00000000-0005-0000-0000-0000D1130000}"/>
    <cellStyle name="Normal 28 3 2 2 2 2" xfId="4596" xr:uid="{00000000-0005-0000-0000-0000D2130000}"/>
    <cellStyle name="Normal 28 3 2 2 3" xfId="2751" xr:uid="{00000000-0005-0000-0000-0000D3130000}"/>
    <cellStyle name="Normal 28 3 2 2 3 2" xfId="5488" xr:uid="{00000000-0005-0000-0000-0000D4130000}"/>
    <cellStyle name="Normal 28 3 2 2 4" xfId="3649" xr:uid="{00000000-0005-0000-0000-0000D5130000}"/>
    <cellStyle name="Normal 28 3 2 3" xfId="1412" xr:uid="{00000000-0005-0000-0000-0000D6130000}"/>
    <cellStyle name="Normal 28 3 2 3 2" xfId="4149" xr:uid="{00000000-0005-0000-0000-0000D7130000}"/>
    <cellStyle name="Normal 28 3 2 4" xfId="2304" xr:uid="{00000000-0005-0000-0000-0000D8130000}"/>
    <cellStyle name="Normal 28 3 2 4 2" xfId="5041" xr:uid="{00000000-0005-0000-0000-0000D9130000}"/>
    <cellStyle name="Normal 28 3 2 5" xfId="3202" xr:uid="{00000000-0005-0000-0000-0000DA130000}"/>
    <cellStyle name="Normal 28 3 3" xfId="664" xr:uid="{00000000-0005-0000-0000-0000DB130000}"/>
    <cellStyle name="Normal 28 3 3 2" xfId="1614" xr:uid="{00000000-0005-0000-0000-0000DC130000}"/>
    <cellStyle name="Normal 28 3 3 2 2" xfId="4351" xr:uid="{00000000-0005-0000-0000-0000DD130000}"/>
    <cellStyle name="Normal 28 3 3 3" xfId="2506" xr:uid="{00000000-0005-0000-0000-0000DE130000}"/>
    <cellStyle name="Normal 28 3 3 3 2" xfId="5243" xr:uid="{00000000-0005-0000-0000-0000DF130000}"/>
    <cellStyle name="Normal 28 3 3 4" xfId="3404" xr:uid="{00000000-0005-0000-0000-0000E0130000}"/>
    <cellStyle name="Normal 28 3 4" xfId="1163" xr:uid="{00000000-0005-0000-0000-0000E1130000}"/>
    <cellStyle name="Normal 28 3 4 2" xfId="3900" xr:uid="{00000000-0005-0000-0000-0000E2130000}"/>
    <cellStyle name="Normal 28 3 5" xfId="2055" xr:uid="{00000000-0005-0000-0000-0000E3130000}"/>
    <cellStyle name="Normal 28 3 5 2" xfId="4792" xr:uid="{00000000-0005-0000-0000-0000E4130000}"/>
    <cellStyle name="Normal 28 3 6" xfId="2953" xr:uid="{00000000-0005-0000-0000-0000E5130000}"/>
    <cellStyle name="Normal 28 4" xfId="252" xr:uid="{00000000-0005-0000-0000-0000E6130000}"/>
    <cellStyle name="Normal 28 4 2" xfId="506" xr:uid="{00000000-0005-0000-0000-0000E7130000}"/>
    <cellStyle name="Normal 28 4 2 2" xfId="954" xr:uid="{00000000-0005-0000-0000-0000E8130000}"/>
    <cellStyle name="Normal 28 4 2 2 2" xfId="1904" xr:uid="{00000000-0005-0000-0000-0000E9130000}"/>
    <cellStyle name="Normal 28 4 2 2 2 2" xfId="4641" xr:uid="{00000000-0005-0000-0000-0000EA130000}"/>
    <cellStyle name="Normal 28 4 2 2 3" xfId="2796" xr:uid="{00000000-0005-0000-0000-0000EB130000}"/>
    <cellStyle name="Normal 28 4 2 2 3 2" xfId="5533" xr:uid="{00000000-0005-0000-0000-0000EC130000}"/>
    <cellStyle name="Normal 28 4 2 2 4" xfId="3694" xr:uid="{00000000-0005-0000-0000-0000ED130000}"/>
    <cellStyle name="Normal 28 4 2 3" xfId="1457" xr:uid="{00000000-0005-0000-0000-0000EE130000}"/>
    <cellStyle name="Normal 28 4 2 3 2" xfId="4194" xr:uid="{00000000-0005-0000-0000-0000EF130000}"/>
    <cellStyle name="Normal 28 4 2 4" xfId="2349" xr:uid="{00000000-0005-0000-0000-0000F0130000}"/>
    <cellStyle name="Normal 28 4 2 4 2" xfId="5086" xr:uid="{00000000-0005-0000-0000-0000F1130000}"/>
    <cellStyle name="Normal 28 4 2 5" xfId="3247" xr:uid="{00000000-0005-0000-0000-0000F2130000}"/>
    <cellStyle name="Normal 28 4 3" xfId="705" xr:uid="{00000000-0005-0000-0000-0000F3130000}"/>
    <cellStyle name="Normal 28 4 3 2" xfId="1655" xr:uid="{00000000-0005-0000-0000-0000F4130000}"/>
    <cellStyle name="Normal 28 4 3 2 2" xfId="4392" xr:uid="{00000000-0005-0000-0000-0000F5130000}"/>
    <cellStyle name="Normal 28 4 3 3" xfId="2547" xr:uid="{00000000-0005-0000-0000-0000F6130000}"/>
    <cellStyle name="Normal 28 4 3 3 2" xfId="5284" xr:uid="{00000000-0005-0000-0000-0000F7130000}"/>
    <cellStyle name="Normal 28 4 3 4" xfId="3445" xr:uid="{00000000-0005-0000-0000-0000F8130000}"/>
    <cellStyle name="Normal 28 4 4" xfId="1208" xr:uid="{00000000-0005-0000-0000-0000F9130000}"/>
    <cellStyle name="Normal 28 4 4 2" xfId="3945" xr:uid="{00000000-0005-0000-0000-0000FA130000}"/>
    <cellStyle name="Normal 28 4 5" xfId="2100" xr:uid="{00000000-0005-0000-0000-0000FB130000}"/>
    <cellStyle name="Normal 28 4 5 2" xfId="4837" xr:uid="{00000000-0005-0000-0000-0000FC130000}"/>
    <cellStyle name="Normal 28 4 6" xfId="2998" xr:uid="{00000000-0005-0000-0000-0000FD130000}"/>
    <cellStyle name="Normal 28 5" xfId="318" xr:uid="{00000000-0005-0000-0000-0000FE130000}"/>
    <cellStyle name="Normal 28 5 2" xfId="771" xr:uid="{00000000-0005-0000-0000-0000FF130000}"/>
    <cellStyle name="Normal 28 5 2 2" xfId="1721" xr:uid="{00000000-0005-0000-0000-000000140000}"/>
    <cellStyle name="Normal 28 5 2 2 2" xfId="4458" xr:uid="{00000000-0005-0000-0000-000001140000}"/>
    <cellStyle name="Normal 28 5 2 3" xfId="2613" xr:uid="{00000000-0005-0000-0000-000002140000}"/>
    <cellStyle name="Normal 28 5 2 3 2" xfId="5350" xr:uid="{00000000-0005-0000-0000-000003140000}"/>
    <cellStyle name="Normal 28 5 2 4" xfId="3511" xr:uid="{00000000-0005-0000-0000-000004140000}"/>
    <cellStyle name="Normal 28 5 3" xfId="1274" xr:uid="{00000000-0005-0000-0000-000005140000}"/>
    <cellStyle name="Normal 28 5 3 2" xfId="4011" xr:uid="{00000000-0005-0000-0000-000006140000}"/>
    <cellStyle name="Normal 28 5 4" xfId="2166" xr:uid="{00000000-0005-0000-0000-000007140000}"/>
    <cellStyle name="Normal 28 5 4 2" xfId="4903" xr:uid="{00000000-0005-0000-0000-000008140000}"/>
    <cellStyle name="Normal 28 5 5" xfId="3064" xr:uid="{00000000-0005-0000-0000-000009140000}"/>
    <cellStyle name="Normal 28 6" xfId="395" xr:uid="{00000000-0005-0000-0000-00000A140000}"/>
    <cellStyle name="Normal 28 6 2" xfId="843" xr:uid="{00000000-0005-0000-0000-00000B140000}"/>
    <cellStyle name="Normal 28 6 2 2" xfId="1793" xr:uid="{00000000-0005-0000-0000-00000C140000}"/>
    <cellStyle name="Normal 28 6 2 2 2" xfId="4530" xr:uid="{00000000-0005-0000-0000-00000D140000}"/>
    <cellStyle name="Normal 28 6 2 3" xfId="2685" xr:uid="{00000000-0005-0000-0000-00000E140000}"/>
    <cellStyle name="Normal 28 6 2 3 2" xfId="5422" xr:uid="{00000000-0005-0000-0000-00000F140000}"/>
    <cellStyle name="Normal 28 6 2 4" xfId="3583" xr:uid="{00000000-0005-0000-0000-000010140000}"/>
    <cellStyle name="Normal 28 6 3" xfId="1346" xr:uid="{00000000-0005-0000-0000-000011140000}"/>
    <cellStyle name="Normal 28 6 3 2" xfId="4083" xr:uid="{00000000-0005-0000-0000-000012140000}"/>
    <cellStyle name="Normal 28 6 4" xfId="2238" xr:uid="{00000000-0005-0000-0000-000013140000}"/>
    <cellStyle name="Normal 28 6 4 2" xfId="4975" xr:uid="{00000000-0005-0000-0000-000014140000}"/>
    <cellStyle name="Normal 28 6 5" xfId="3136" xr:uid="{00000000-0005-0000-0000-000015140000}"/>
    <cellStyle name="Normal 28 7" xfId="573" xr:uid="{00000000-0005-0000-0000-000016140000}"/>
    <cellStyle name="Normal 28 7 2" xfId="1523" xr:uid="{00000000-0005-0000-0000-000017140000}"/>
    <cellStyle name="Normal 28 7 2 2" xfId="4260" xr:uid="{00000000-0005-0000-0000-000018140000}"/>
    <cellStyle name="Normal 28 7 3" xfId="2415" xr:uid="{00000000-0005-0000-0000-000019140000}"/>
    <cellStyle name="Normal 28 7 3 2" xfId="5152" xr:uid="{00000000-0005-0000-0000-00001A140000}"/>
    <cellStyle name="Normal 28 7 4" xfId="3313" xr:uid="{00000000-0005-0000-0000-00001B140000}"/>
    <cellStyle name="Normal 28 8" xfId="1021" xr:uid="{00000000-0005-0000-0000-00001C140000}"/>
    <cellStyle name="Normal 28 8 2" xfId="3760" xr:uid="{00000000-0005-0000-0000-00001D140000}"/>
    <cellStyle name="Normal 28 9" xfId="1097" xr:uid="{00000000-0005-0000-0000-00001E140000}"/>
    <cellStyle name="Normal 28 9 2" xfId="3834" xr:uid="{00000000-0005-0000-0000-00001F140000}"/>
    <cellStyle name="Normal 29" xfId="139" xr:uid="{00000000-0005-0000-0000-000020140000}"/>
    <cellStyle name="Normal 29 2" xfId="347" xr:uid="{00000000-0005-0000-0000-000021140000}"/>
    <cellStyle name="Normal 3" xfId="65" xr:uid="{00000000-0005-0000-0000-000022140000}"/>
    <cellStyle name="Normal 3 2" xfId="66" xr:uid="{00000000-0005-0000-0000-000023140000}"/>
    <cellStyle name="Normal 3 3" xfId="67" xr:uid="{00000000-0005-0000-0000-000024140000}"/>
    <cellStyle name="Normal 3_Merchandise Mart energyView 2009" xfId="68" xr:uid="{00000000-0005-0000-0000-000025140000}"/>
    <cellStyle name="Normal 30" xfId="127" xr:uid="{00000000-0005-0000-0000-000026140000}"/>
    <cellStyle name="Normal 30 2" xfId="208" xr:uid="{00000000-0005-0000-0000-000027140000}"/>
    <cellStyle name="Normal 30 2 2" xfId="348" xr:uid="{00000000-0005-0000-0000-000028140000}"/>
    <cellStyle name="Normal 30 2 2 2" xfId="799" xr:uid="{00000000-0005-0000-0000-000029140000}"/>
    <cellStyle name="Normal 30 2 2 2 2" xfId="1749" xr:uid="{00000000-0005-0000-0000-00002A140000}"/>
    <cellStyle name="Normal 30 2 2 2 2 2" xfId="4486" xr:uid="{00000000-0005-0000-0000-00002B140000}"/>
    <cellStyle name="Normal 30 2 2 2 3" xfId="2641" xr:uid="{00000000-0005-0000-0000-00002C140000}"/>
    <cellStyle name="Normal 30 2 2 2 3 2" xfId="5378" xr:uid="{00000000-0005-0000-0000-00002D140000}"/>
    <cellStyle name="Normal 30 2 2 2 4" xfId="3539" xr:uid="{00000000-0005-0000-0000-00002E140000}"/>
    <cellStyle name="Normal 30 2 2 3" xfId="1302" xr:uid="{00000000-0005-0000-0000-00002F140000}"/>
    <cellStyle name="Normal 30 2 2 3 2" xfId="4039" xr:uid="{00000000-0005-0000-0000-000030140000}"/>
    <cellStyle name="Normal 30 2 2 4" xfId="2194" xr:uid="{00000000-0005-0000-0000-000031140000}"/>
    <cellStyle name="Normal 30 2 2 4 2" xfId="4931" xr:uid="{00000000-0005-0000-0000-000032140000}"/>
    <cellStyle name="Normal 30 2 2 5" xfId="3092" xr:uid="{00000000-0005-0000-0000-000033140000}"/>
    <cellStyle name="Normal 30 2 3" xfId="462" xr:uid="{00000000-0005-0000-0000-000034140000}"/>
    <cellStyle name="Normal 30 2 3 2" xfId="910" xr:uid="{00000000-0005-0000-0000-000035140000}"/>
    <cellStyle name="Normal 30 2 3 2 2" xfId="1860" xr:uid="{00000000-0005-0000-0000-000036140000}"/>
    <cellStyle name="Normal 30 2 3 2 2 2" xfId="4597" xr:uid="{00000000-0005-0000-0000-000037140000}"/>
    <cellStyle name="Normal 30 2 3 2 3" xfId="2752" xr:uid="{00000000-0005-0000-0000-000038140000}"/>
    <cellStyle name="Normal 30 2 3 2 3 2" xfId="5489" xr:uid="{00000000-0005-0000-0000-000039140000}"/>
    <cellStyle name="Normal 30 2 3 2 4" xfId="3650" xr:uid="{00000000-0005-0000-0000-00003A140000}"/>
    <cellStyle name="Normal 30 2 3 3" xfId="1413" xr:uid="{00000000-0005-0000-0000-00003B140000}"/>
    <cellStyle name="Normal 30 2 3 3 2" xfId="4150" xr:uid="{00000000-0005-0000-0000-00003C140000}"/>
    <cellStyle name="Normal 30 2 3 4" xfId="2305" xr:uid="{00000000-0005-0000-0000-00003D140000}"/>
    <cellStyle name="Normal 30 2 3 4 2" xfId="5042" xr:uid="{00000000-0005-0000-0000-00003E140000}"/>
    <cellStyle name="Normal 30 2 3 5" xfId="3203" xr:uid="{00000000-0005-0000-0000-00003F140000}"/>
    <cellStyle name="Normal 30 2 4" xfId="601" xr:uid="{00000000-0005-0000-0000-000040140000}"/>
    <cellStyle name="Normal 30 2 4 2" xfId="1551" xr:uid="{00000000-0005-0000-0000-000041140000}"/>
    <cellStyle name="Normal 30 2 4 2 2" xfId="4288" xr:uid="{00000000-0005-0000-0000-000042140000}"/>
    <cellStyle name="Normal 30 2 4 3" xfId="2443" xr:uid="{00000000-0005-0000-0000-000043140000}"/>
    <cellStyle name="Normal 30 2 4 3 2" xfId="5180" xr:uid="{00000000-0005-0000-0000-000044140000}"/>
    <cellStyle name="Normal 30 2 4 4" xfId="3341" xr:uid="{00000000-0005-0000-0000-000045140000}"/>
    <cellStyle name="Normal 30 2 5" xfId="1049" xr:uid="{00000000-0005-0000-0000-000046140000}"/>
    <cellStyle name="Normal 30 2 5 2" xfId="3788" xr:uid="{00000000-0005-0000-0000-000047140000}"/>
    <cellStyle name="Normal 30 2 6" xfId="1164" xr:uid="{00000000-0005-0000-0000-000048140000}"/>
    <cellStyle name="Normal 30 2 6 2" xfId="3901" xr:uid="{00000000-0005-0000-0000-000049140000}"/>
    <cellStyle name="Normal 30 2 7" xfId="2056" xr:uid="{00000000-0005-0000-0000-00004A140000}"/>
    <cellStyle name="Normal 30 2 7 2" xfId="4793" xr:uid="{00000000-0005-0000-0000-00004B140000}"/>
    <cellStyle name="Normal 30 2 8" xfId="2954" xr:uid="{00000000-0005-0000-0000-00004C140000}"/>
    <cellStyle name="Normal 30 3" xfId="319" xr:uid="{00000000-0005-0000-0000-00004D140000}"/>
    <cellStyle name="Normal 30 3 2" xfId="772" xr:uid="{00000000-0005-0000-0000-00004E140000}"/>
    <cellStyle name="Normal 30 3 2 2" xfId="1722" xr:uid="{00000000-0005-0000-0000-00004F140000}"/>
    <cellStyle name="Normal 30 3 2 2 2" xfId="4459" xr:uid="{00000000-0005-0000-0000-000050140000}"/>
    <cellStyle name="Normal 30 3 2 3" xfId="2614" xr:uid="{00000000-0005-0000-0000-000051140000}"/>
    <cellStyle name="Normal 30 3 2 3 2" xfId="5351" xr:uid="{00000000-0005-0000-0000-000052140000}"/>
    <cellStyle name="Normal 30 3 2 4" xfId="3512" xr:uid="{00000000-0005-0000-0000-000053140000}"/>
    <cellStyle name="Normal 30 3 3" xfId="1275" xr:uid="{00000000-0005-0000-0000-000054140000}"/>
    <cellStyle name="Normal 30 3 3 2" xfId="4012" xr:uid="{00000000-0005-0000-0000-000055140000}"/>
    <cellStyle name="Normal 30 3 4" xfId="2167" xr:uid="{00000000-0005-0000-0000-000056140000}"/>
    <cellStyle name="Normal 30 3 4 2" xfId="4904" xr:uid="{00000000-0005-0000-0000-000057140000}"/>
    <cellStyle name="Normal 30 3 5" xfId="3065" xr:uid="{00000000-0005-0000-0000-000058140000}"/>
    <cellStyle name="Normal 30 4" xfId="574" xr:uid="{00000000-0005-0000-0000-000059140000}"/>
    <cellStyle name="Normal 30 4 2" xfId="1524" xr:uid="{00000000-0005-0000-0000-00005A140000}"/>
    <cellStyle name="Normal 30 4 2 2" xfId="4261" xr:uid="{00000000-0005-0000-0000-00005B140000}"/>
    <cellStyle name="Normal 30 4 3" xfId="2416" xr:uid="{00000000-0005-0000-0000-00005C140000}"/>
    <cellStyle name="Normal 30 4 3 2" xfId="5153" xr:uid="{00000000-0005-0000-0000-00005D140000}"/>
    <cellStyle name="Normal 30 4 4" xfId="3314" xr:uid="{00000000-0005-0000-0000-00005E140000}"/>
    <cellStyle name="Normal 30 5" xfId="1022" xr:uid="{00000000-0005-0000-0000-00005F140000}"/>
    <cellStyle name="Normal 30 5 2" xfId="3761" xr:uid="{00000000-0005-0000-0000-000060140000}"/>
    <cellStyle name="Normal 31" xfId="181" xr:uid="{00000000-0005-0000-0000-000061140000}"/>
    <cellStyle name="Normal 31 10" xfId="2929" xr:uid="{00000000-0005-0000-0000-000062140000}"/>
    <cellStyle name="Normal 31 11" xfId="5578" xr:uid="{00000000-0005-0000-0000-000063140000}"/>
    <cellStyle name="Normal 31 2" xfId="209" xr:uid="{00000000-0005-0000-0000-000064140000}"/>
    <cellStyle name="Normal 31 2 2" xfId="349" xr:uid="{00000000-0005-0000-0000-000065140000}"/>
    <cellStyle name="Normal 31 2 2 2" xfId="800" xr:uid="{00000000-0005-0000-0000-000066140000}"/>
    <cellStyle name="Normal 31 2 2 2 2" xfId="1750" xr:uid="{00000000-0005-0000-0000-000067140000}"/>
    <cellStyle name="Normal 31 2 2 2 2 2" xfId="4487" xr:uid="{00000000-0005-0000-0000-000068140000}"/>
    <cellStyle name="Normal 31 2 2 2 3" xfId="2642" xr:uid="{00000000-0005-0000-0000-000069140000}"/>
    <cellStyle name="Normal 31 2 2 2 3 2" xfId="5379" xr:uid="{00000000-0005-0000-0000-00006A140000}"/>
    <cellStyle name="Normal 31 2 2 2 4" xfId="3540" xr:uid="{00000000-0005-0000-0000-00006B140000}"/>
    <cellStyle name="Normal 31 2 2 3" xfId="1303" xr:uid="{00000000-0005-0000-0000-00006C140000}"/>
    <cellStyle name="Normal 31 2 2 3 2" xfId="4040" xr:uid="{00000000-0005-0000-0000-00006D140000}"/>
    <cellStyle name="Normal 31 2 2 4" xfId="2195" xr:uid="{00000000-0005-0000-0000-00006E140000}"/>
    <cellStyle name="Normal 31 2 2 4 2" xfId="4932" xr:uid="{00000000-0005-0000-0000-00006F140000}"/>
    <cellStyle name="Normal 31 2 2 5" xfId="3093" xr:uid="{00000000-0005-0000-0000-000070140000}"/>
    <cellStyle name="Normal 31 2 3" xfId="463" xr:uid="{00000000-0005-0000-0000-000071140000}"/>
    <cellStyle name="Normal 31 2 3 2" xfId="911" xr:uid="{00000000-0005-0000-0000-000072140000}"/>
    <cellStyle name="Normal 31 2 3 2 2" xfId="1861" xr:uid="{00000000-0005-0000-0000-000073140000}"/>
    <cellStyle name="Normal 31 2 3 2 2 2" xfId="4598" xr:uid="{00000000-0005-0000-0000-000074140000}"/>
    <cellStyle name="Normal 31 2 3 2 3" xfId="2753" xr:uid="{00000000-0005-0000-0000-000075140000}"/>
    <cellStyle name="Normal 31 2 3 2 3 2" xfId="5490" xr:uid="{00000000-0005-0000-0000-000076140000}"/>
    <cellStyle name="Normal 31 2 3 2 4" xfId="3651" xr:uid="{00000000-0005-0000-0000-000077140000}"/>
    <cellStyle name="Normal 31 2 3 3" xfId="1414" xr:uid="{00000000-0005-0000-0000-000078140000}"/>
    <cellStyle name="Normal 31 2 3 3 2" xfId="4151" xr:uid="{00000000-0005-0000-0000-000079140000}"/>
    <cellStyle name="Normal 31 2 3 4" xfId="2306" xr:uid="{00000000-0005-0000-0000-00007A140000}"/>
    <cellStyle name="Normal 31 2 3 4 2" xfId="5043" xr:uid="{00000000-0005-0000-0000-00007B140000}"/>
    <cellStyle name="Normal 31 2 3 5" xfId="3204" xr:uid="{00000000-0005-0000-0000-00007C140000}"/>
    <cellStyle name="Normal 31 2 4" xfId="602" xr:uid="{00000000-0005-0000-0000-00007D140000}"/>
    <cellStyle name="Normal 31 2 4 2" xfId="1552" xr:uid="{00000000-0005-0000-0000-00007E140000}"/>
    <cellStyle name="Normal 31 2 4 2 2" xfId="4289" xr:uid="{00000000-0005-0000-0000-00007F140000}"/>
    <cellStyle name="Normal 31 2 4 3" xfId="2444" xr:uid="{00000000-0005-0000-0000-000080140000}"/>
    <cellStyle name="Normal 31 2 4 3 2" xfId="5181" xr:uid="{00000000-0005-0000-0000-000081140000}"/>
    <cellStyle name="Normal 31 2 4 4" xfId="3342" xr:uid="{00000000-0005-0000-0000-000082140000}"/>
    <cellStyle name="Normal 31 2 5" xfId="1050" xr:uid="{00000000-0005-0000-0000-000083140000}"/>
    <cellStyle name="Normal 31 2 5 2" xfId="3789" xr:uid="{00000000-0005-0000-0000-000084140000}"/>
    <cellStyle name="Normal 31 2 6" xfId="1165" xr:uid="{00000000-0005-0000-0000-000085140000}"/>
    <cellStyle name="Normal 31 2 6 2" xfId="3902" xr:uid="{00000000-0005-0000-0000-000086140000}"/>
    <cellStyle name="Normal 31 2 7" xfId="2057" xr:uid="{00000000-0005-0000-0000-000087140000}"/>
    <cellStyle name="Normal 31 2 7 2" xfId="4794" xr:uid="{00000000-0005-0000-0000-000088140000}"/>
    <cellStyle name="Normal 31 2 8" xfId="2955" xr:uid="{00000000-0005-0000-0000-000089140000}"/>
    <cellStyle name="Normal 31 3" xfId="294" xr:uid="{00000000-0005-0000-0000-00008A140000}"/>
    <cellStyle name="Normal 31 3 2" xfId="548" xr:uid="{00000000-0005-0000-0000-00008B140000}"/>
    <cellStyle name="Normal 31 3 2 2" xfId="996" xr:uid="{00000000-0005-0000-0000-00008C140000}"/>
    <cellStyle name="Normal 31 3 2 2 2" xfId="1946" xr:uid="{00000000-0005-0000-0000-00008D140000}"/>
    <cellStyle name="Normal 31 3 2 2 2 2" xfId="4683" xr:uid="{00000000-0005-0000-0000-00008E140000}"/>
    <cellStyle name="Normal 31 3 2 2 3" xfId="2838" xr:uid="{00000000-0005-0000-0000-00008F140000}"/>
    <cellStyle name="Normal 31 3 2 2 3 2" xfId="5575" xr:uid="{00000000-0005-0000-0000-000090140000}"/>
    <cellStyle name="Normal 31 3 2 2 4" xfId="3736" xr:uid="{00000000-0005-0000-0000-000091140000}"/>
    <cellStyle name="Normal 31 3 2 3" xfId="1499" xr:uid="{00000000-0005-0000-0000-000092140000}"/>
    <cellStyle name="Normal 31 3 2 3 2" xfId="4236" xr:uid="{00000000-0005-0000-0000-000093140000}"/>
    <cellStyle name="Normal 31 3 2 4" xfId="2391" xr:uid="{00000000-0005-0000-0000-000094140000}"/>
    <cellStyle name="Normal 31 3 2 4 2" xfId="5128" xr:uid="{00000000-0005-0000-0000-000095140000}"/>
    <cellStyle name="Normal 31 3 2 5" xfId="3289" xr:uid="{00000000-0005-0000-0000-000096140000}"/>
    <cellStyle name="Normal 31 3 3" xfId="747" xr:uid="{00000000-0005-0000-0000-000097140000}"/>
    <cellStyle name="Normal 31 3 3 2" xfId="1697" xr:uid="{00000000-0005-0000-0000-000098140000}"/>
    <cellStyle name="Normal 31 3 3 2 2" xfId="4434" xr:uid="{00000000-0005-0000-0000-000099140000}"/>
    <cellStyle name="Normal 31 3 3 3" xfId="2589" xr:uid="{00000000-0005-0000-0000-00009A140000}"/>
    <cellStyle name="Normal 31 3 3 3 2" xfId="5326" xr:uid="{00000000-0005-0000-0000-00009B140000}"/>
    <cellStyle name="Normal 31 3 3 4" xfId="3487" xr:uid="{00000000-0005-0000-0000-00009C140000}"/>
    <cellStyle name="Normal 31 3 4" xfId="1250" xr:uid="{00000000-0005-0000-0000-00009D140000}"/>
    <cellStyle name="Normal 31 3 4 2" xfId="3987" xr:uid="{00000000-0005-0000-0000-00009E140000}"/>
    <cellStyle name="Normal 31 3 5" xfId="2142" xr:uid="{00000000-0005-0000-0000-00009F140000}"/>
    <cellStyle name="Normal 31 3 5 2" xfId="4879" xr:uid="{00000000-0005-0000-0000-0000A0140000}"/>
    <cellStyle name="Normal 31 3 6" xfId="3040" xr:uid="{00000000-0005-0000-0000-0000A1140000}"/>
    <cellStyle name="Normal 31 4" xfId="320" xr:uid="{00000000-0005-0000-0000-0000A2140000}"/>
    <cellStyle name="Normal 31 4 2" xfId="773" xr:uid="{00000000-0005-0000-0000-0000A3140000}"/>
    <cellStyle name="Normal 31 4 2 2" xfId="1723" xr:uid="{00000000-0005-0000-0000-0000A4140000}"/>
    <cellStyle name="Normal 31 4 2 2 2" xfId="4460" xr:uid="{00000000-0005-0000-0000-0000A5140000}"/>
    <cellStyle name="Normal 31 4 2 3" xfId="2615" xr:uid="{00000000-0005-0000-0000-0000A6140000}"/>
    <cellStyle name="Normal 31 4 2 3 2" xfId="5352" xr:uid="{00000000-0005-0000-0000-0000A7140000}"/>
    <cellStyle name="Normal 31 4 2 4" xfId="3513" xr:uid="{00000000-0005-0000-0000-0000A8140000}"/>
    <cellStyle name="Normal 31 4 3" xfId="1276" xr:uid="{00000000-0005-0000-0000-0000A9140000}"/>
    <cellStyle name="Normal 31 4 3 2" xfId="4013" xr:uid="{00000000-0005-0000-0000-0000AA140000}"/>
    <cellStyle name="Normal 31 4 4" xfId="2168" xr:uid="{00000000-0005-0000-0000-0000AB140000}"/>
    <cellStyle name="Normal 31 4 4 2" xfId="4905" xr:uid="{00000000-0005-0000-0000-0000AC140000}"/>
    <cellStyle name="Normal 31 4 5" xfId="3066" xr:uid="{00000000-0005-0000-0000-0000AD140000}"/>
    <cellStyle name="Normal 31 5" xfId="437" xr:uid="{00000000-0005-0000-0000-0000AE140000}"/>
    <cellStyle name="Normal 31 5 2" xfId="885" xr:uid="{00000000-0005-0000-0000-0000AF140000}"/>
    <cellStyle name="Normal 31 5 2 2" xfId="1835" xr:uid="{00000000-0005-0000-0000-0000B0140000}"/>
    <cellStyle name="Normal 31 5 2 2 2" xfId="4572" xr:uid="{00000000-0005-0000-0000-0000B1140000}"/>
    <cellStyle name="Normal 31 5 2 3" xfId="2727" xr:uid="{00000000-0005-0000-0000-0000B2140000}"/>
    <cellStyle name="Normal 31 5 2 3 2" xfId="5464" xr:uid="{00000000-0005-0000-0000-0000B3140000}"/>
    <cellStyle name="Normal 31 5 2 4" xfId="3625" xr:uid="{00000000-0005-0000-0000-0000B4140000}"/>
    <cellStyle name="Normal 31 5 3" xfId="1388" xr:uid="{00000000-0005-0000-0000-0000B5140000}"/>
    <cellStyle name="Normal 31 5 3 2" xfId="4125" xr:uid="{00000000-0005-0000-0000-0000B6140000}"/>
    <cellStyle name="Normal 31 5 4" xfId="2280" xr:uid="{00000000-0005-0000-0000-0000B7140000}"/>
    <cellStyle name="Normal 31 5 4 2" xfId="5017" xr:uid="{00000000-0005-0000-0000-0000B8140000}"/>
    <cellStyle name="Normal 31 5 5" xfId="3178" xr:uid="{00000000-0005-0000-0000-0000B9140000}"/>
    <cellStyle name="Normal 31 6" xfId="575" xr:uid="{00000000-0005-0000-0000-0000BA140000}"/>
    <cellStyle name="Normal 31 6 2" xfId="1525" xr:uid="{00000000-0005-0000-0000-0000BB140000}"/>
    <cellStyle name="Normal 31 6 2 2" xfId="4262" xr:uid="{00000000-0005-0000-0000-0000BC140000}"/>
    <cellStyle name="Normal 31 6 3" xfId="2417" xr:uid="{00000000-0005-0000-0000-0000BD140000}"/>
    <cellStyle name="Normal 31 6 3 2" xfId="5154" xr:uid="{00000000-0005-0000-0000-0000BE140000}"/>
    <cellStyle name="Normal 31 6 4" xfId="3315" xr:uid="{00000000-0005-0000-0000-0000BF140000}"/>
    <cellStyle name="Normal 31 7" xfId="1023" xr:uid="{00000000-0005-0000-0000-0000C0140000}"/>
    <cellStyle name="Normal 31 7 2" xfId="3762" xr:uid="{00000000-0005-0000-0000-0000C1140000}"/>
    <cellStyle name="Normal 31 8" xfId="1139" xr:uid="{00000000-0005-0000-0000-0000C2140000}"/>
    <cellStyle name="Normal 31 8 2" xfId="3876" xr:uid="{00000000-0005-0000-0000-0000C3140000}"/>
    <cellStyle name="Normal 31 9" xfId="2031" xr:uid="{00000000-0005-0000-0000-0000C4140000}"/>
    <cellStyle name="Normal 31 9 2" xfId="4768" xr:uid="{00000000-0005-0000-0000-0000C5140000}"/>
    <cellStyle name="Normal 32" xfId="182" xr:uid="{00000000-0005-0000-0000-0000C6140000}"/>
    <cellStyle name="Normal 32 10" xfId="2930" xr:uid="{00000000-0005-0000-0000-0000C7140000}"/>
    <cellStyle name="Normal 32 2" xfId="210" xr:uid="{00000000-0005-0000-0000-0000C8140000}"/>
    <cellStyle name="Normal 32 2 2" xfId="350" xr:uid="{00000000-0005-0000-0000-0000C9140000}"/>
    <cellStyle name="Normal 32 2 2 2" xfId="801" xr:uid="{00000000-0005-0000-0000-0000CA140000}"/>
    <cellStyle name="Normal 32 2 2 2 2" xfId="1751" xr:uid="{00000000-0005-0000-0000-0000CB140000}"/>
    <cellStyle name="Normal 32 2 2 2 2 2" xfId="4488" xr:uid="{00000000-0005-0000-0000-0000CC140000}"/>
    <cellStyle name="Normal 32 2 2 2 3" xfId="2643" xr:uid="{00000000-0005-0000-0000-0000CD140000}"/>
    <cellStyle name="Normal 32 2 2 2 3 2" xfId="5380" xr:uid="{00000000-0005-0000-0000-0000CE140000}"/>
    <cellStyle name="Normal 32 2 2 2 4" xfId="3541" xr:uid="{00000000-0005-0000-0000-0000CF140000}"/>
    <cellStyle name="Normal 32 2 2 3" xfId="1304" xr:uid="{00000000-0005-0000-0000-0000D0140000}"/>
    <cellStyle name="Normal 32 2 2 3 2" xfId="4041" xr:uid="{00000000-0005-0000-0000-0000D1140000}"/>
    <cellStyle name="Normal 32 2 2 4" xfId="2196" xr:uid="{00000000-0005-0000-0000-0000D2140000}"/>
    <cellStyle name="Normal 32 2 2 4 2" xfId="4933" xr:uid="{00000000-0005-0000-0000-0000D3140000}"/>
    <cellStyle name="Normal 32 2 2 5" xfId="3094" xr:uid="{00000000-0005-0000-0000-0000D4140000}"/>
    <cellStyle name="Normal 32 2 3" xfId="464" xr:uid="{00000000-0005-0000-0000-0000D5140000}"/>
    <cellStyle name="Normal 32 2 3 2" xfId="912" xr:uid="{00000000-0005-0000-0000-0000D6140000}"/>
    <cellStyle name="Normal 32 2 3 2 2" xfId="1862" xr:uid="{00000000-0005-0000-0000-0000D7140000}"/>
    <cellStyle name="Normal 32 2 3 2 2 2" xfId="4599" xr:uid="{00000000-0005-0000-0000-0000D8140000}"/>
    <cellStyle name="Normal 32 2 3 2 3" xfId="2754" xr:uid="{00000000-0005-0000-0000-0000D9140000}"/>
    <cellStyle name="Normal 32 2 3 2 3 2" xfId="5491" xr:uid="{00000000-0005-0000-0000-0000DA140000}"/>
    <cellStyle name="Normal 32 2 3 2 4" xfId="3652" xr:uid="{00000000-0005-0000-0000-0000DB140000}"/>
    <cellStyle name="Normal 32 2 3 3" xfId="1415" xr:uid="{00000000-0005-0000-0000-0000DC140000}"/>
    <cellStyle name="Normal 32 2 3 3 2" xfId="4152" xr:uid="{00000000-0005-0000-0000-0000DD140000}"/>
    <cellStyle name="Normal 32 2 3 4" xfId="2307" xr:uid="{00000000-0005-0000-0000-0000DE140000}"/>
    <cellStyle name="Normal 32 2 3 4 2" xfId="5044" xr:uid="{00000000-0005-0000-0000-0000DF140000}"/>
    <cellStyle name="Normal 32 2 3 5" xfId="3205" xr:uid="{00000000-0005-0000-0000-0000E0140000}"/>
    <cellStyle name="Normal 32 2 4" xfId="603" xr:uid="{00000000-0005-0000-0000-0000E1140000}"/>
    <cellStyle name="Normal 32 2 4 2" xfId="1553" xr:uid="{00000000-0005-0000-0000-0000E2140000}"/>
    <cellStyle name="Normal 32 2 4 2 2" xfId="4290" xr:uid="{00000000-0005-0000-0000-0000E3140000}"/>
    <cellStyle name="Normal 32 2 4 3" xfId="2445" xr:uid="{00000000-0005-0000-0000-0000E4140000}"/>
    <cellStyle name="Normal 32 2 4 3 2" xfId="5182" xr:uid="{00000000-0005-0000-0000-0000E5140000}"/>
    <cellStyle name="Normal 32 2 4 4" xfId="3343" xr:uid="{00000000-0005-0000-0000-0000E6140000}"/>
    <cellStyle name="Normal 32 2 5" xfId="1051" xr:uid="{00000000-0005-0000-0000-0000E7140000}"/>
    <cellStyle name="Normal 32 2 5 2" xfId="3790" xr:uid="{00000000-0005-0000-0000-0000E8140000}"/>
    <cellStyle name="Normal 32 2 6" xfId="1166" xr:uid="{00000000-0005-0000-0000-0000E9140000}"/>
    <cellStyle name="Normal 32 2 6 2" xfId="3903" xr:uid="{00000000-0005-0000-0000-0000EA140000}"/>
    <cellStyle name="Normal 32 2 7" xfId="2058" xr:uid="{00000000-0005-0000-0000-0000EB140000}"/>
    <cellStyle name="Normal 32 2 7 2" xfId="4795" xr:uid="{00000000-0005-0000-0000-0000EC140000}"/>
    <cellStyle name="Normal 32 2 8" xfId="2956" xr:uid="{00000000-0005-0000-0000-0000ED140000}"/>
    <cellStyle name="Normal 32 3" xfId="295" xr:uid="{00000000-0005-0000-0000-0000EE140000}"/>
    <cellStyle name="Normal 32 3 2" xfId="549" xr:uid="{00000000-0005-0000-0000-0000EF140000}"/>
    <cellStyle name="Normal 32 3 2 2" xfId="997" xr:uid="{00000000-0005-0000-0000-0000F0140000}"/>
    <cellStyle name="Normal 32 3 2 2 2" xfId="1947" xr:uid="{00000000-0005-0000-0000-0000F1140000}"/>
    <cellStyle name="Normal 32 3 2 2 2 2" xfId="4684" xr:uid="{00000000-0005-0000-0000-0000F2140000}"/>
    <cellStyle name="Normal 32 3 2 2 3" xfId="2839" xr:uid="{00000000-0005-0000-0000-0000F3140000}"/>
    <cellStyle name="Normal 32 3 2 2 3 2" xfId="5576" xr:uid="{00000000-0005-0000-0000-0000F4140000}"/>
    <cellStyle name="Normal 32 3 2 2 4" xfId="3737" xr:uid="{00000000-0005-0000-0000-0000F5140000}"/>
    <cellStyle name="Normal 32 3 2 3" xfId="1500" xr:uid="{00000000-0005-0000-0000-0000F6140000}"/>
    <cellStyle name="Normal 32 3 2 3 2" xfId="4237" xr:uid="{00000000-0005-0000-0000-0000F7140000}"/>
    <cellStyle name="Normal 32 3 2 4" xfId="2392" xr:uid="{00000000-0005-0000-0000-0000F8140000}"/>
    <cellStyle name="Normal 32 3 2 4 2" xfId="5129" xr:uid="{00000000-0005-0000-0000-0000F9140000}"/>
    <cellStyle name="Normal 32 3 2 5" xfId="3290" xr:uid="{00000000-0005-0000-0000-0000FA140000}"/>
    <cellStyle name="Normal 32 3 3" xfId="748" xr:uid="{00000000-0005-0000-0000-0000FB140000}"/>
    <cellStyle name="Normal 32 3 3 2" xfId="1698" xr:uid="{00000000-0005-0000-0000-0000FC140000}"/>
    <cellStyle name="Normal 32 3 3 2 2" xfId="4435" xr:uid="{00000000-0005-0000-0000-0000FD140000}"/>
    <cellStyle name="Normal 32 3 3 3" xfId="2590" xr:uid="{00000000-0005-0000-0000-0000FE140000}"/>
    <cellStyle name="Normal 32 3 3 3 2" xfId="5327" xr:uid="{00000000-0005-0000-0000-0000FF140000}"/>
    <cellStyle name="Normal 32 3 3 4" xfId="3488" xr:uid="{00000000-0005-0000-0000-000000150000}"/>
    <cellStyle name="Normal 32 3 4" xfId="1251" xr:uid="{00000000-0005-0000-0000-000001150000}"/>
    <cellStyle name="Normal 32 3 4 2" xfId="3988" xr:uid="{00000000-0005-0000-0000-000002150000}"/>
    <cellStyle name="Normal 32 3 5" xfId="2143" xr:uid="{00000000-0005-0000-0000-000003150000}"/>
    <cellStyle name="Normal 32 3 5 2" xfId="4880" xr:uid="{00000000-0005-0000-0000-000004150000}"/>
    <cellStyle name="Normal 32 3 6" xfId="3041" xr:uid="{00000000-0005-0000-0000-000005150000}"/>
    <cellStyle name="Normal 32 4" xfId="321" xr:uid="{00000000-0005-0000-0000-000006150000}"/>
    <cellStyle name="Normal 32 4 2" xfId="774" xr:uid="{00000000-0005-0000-0000-000007150000}"/>
    <cellStyle name="Normal 32 4 2 2" xfId="1724" xr:uid="{00000000-0005-0000-0000-000008150000}"/>
    <cellStyle name="Normal 32 4 2 2 2" xfId="4461" xr:uid="{00000000-0005-0000-0000-000009150000}"/>
    <cellStyle name="Normal 32 4 2 3" xfId="2616" xr:uid="{00000000-0005-0000-0000-00000A150000}"/>
    <cellStyle name="Normal 32 4 2 3 2" xfId="5353" xr:uid="{00000000-0005-0000-0000-00000B150000}"/>
    <cellStyle name="Normal 32 4 2 4" xfId="3514" xr:uid="{00000000-0005-0000-0000-00000C150000}"/>
    <cellStyle name="Normal 32 4 3" xfId="1277" xr:uid="{00000000-0005-0000-0000-00000D150000}"/>
    <cellStyle name="Normal 32 4 3 2" xfId="4014" xr:uid="{00000000-0005-0000-0000-00000E150000}"/>
    <cellStyle name="Normal 32 4 4" xfId="2169" xr:uid="{00000000-0005-0000-0000-00000F150000}"/>
    <cellStyle name="Normal 32 4 4 2" xfId="4906" xr:uid="{00000000-0005-0000-0000-000010150000}"/>
    <cellStyle name="Normal 32 4 5" xfId="3067" xr:uid="{00000000-0005-0000-0000-000011150000}"/>
    <cellStyle name="Normal 32 5" xfId="438" xr:uid="{00000000-0005-0000-0000-000012150000}"/>
    <cellStyle name="Normal 32 5 2" xfId="886" xr:uid="{00000000-0005-0000-0000-000013150000}"/>
    <cellStyle name="Normal 32 5 2 2" xfId="1836" xr:uid="{00000000-0005-0000-0000-000014150000}"/>
    <cellStyle name="Normal 32 5 2 2 2" xfId="4573" xr:uid="{00000000-0005-0000-0000-000015150000}"/>
    <cellStyle name="Normal 32 5 2 3" xfId="2728" xr:uid="{00000000-0005-0000-0000-000016150000}"/>
    <cellStyle name="Normal 32 5 2 3 2" xfId="5465" xr:uid="{00000000-0005-0000-0000-000017150000}"/>
    <cellStyle name="Normal 32 5 2 4" xfId="3626" xr:uid="{00000000-0005-0000-0000-000018150000}"/>
    <cellStyle name="Normal 32 5 3" xfId="1389" xr:uid="{00000000-0005-0000-0000-000019150000}"/>
    <cellStyle name="Normal 32 5 3 2" xfId="4126" xr:uid="{00000000-0005-0000-0000-00001A150000}"/>
    <cellStyle name="Normal 32 5 4" xfId="2281" xr:uid="{00000000-0005-0000-0000-00001B150000}"/>
    <cellStyle name="Normal 32 5 4 2" xfId="5018" xr:uid="{00000000-0005-0000-0000-00001C150000}"/>
    <cellStyle name="Normal 32 5 5" xfId="3179" xr:uid="{00000000-0005-0000-0000-00001D150000}"/>
    <cellStyle name="Normal 32 6" xfId="576" xr:uid="{00000000-0005-0000-0000-00001E150000}"/>
    <cellStyle name="Normal 32 6 2" xfId="1526" xr:uid="{00000000-0005-0000-0000-00001F150000}"/>
    <cellStyle name="Normal 32 6 2 2" xfId="4263" xr:uid="{00000000-0005-0000-0000-000020150000}"/>
    <cellStyle name="Normal 32 6 3" xfId="2418" xr:uid="{00000000-0005-0000-0000-000021150000}"/>
    <cellStyle name="Normal 32 6 3 2" xfId="5155" xr:uid="{00000000-0005-0000-0000-000022150000}"/>
    <cellStyle name="Normal 32 6 4" xfId="3316" xr:uid="{00000000-0005-0000-0000-000023150000}"/>
    <cellStyle name="Normal 32 7" xfId="1024" xr:uid="{00000000-0005-0000-0000-000024150000}"/>
    <cellStyle name="Normal 32 7 2" xfId="3763" xr:uid="{00000000-0005-0000-0000-000025150000}"/>
    <cellStyle name="Normal 32 8" xfId="1140" xr:uid="{00000000-0005-0000-0000-000026150000}"/>
    <cellStyle name="Normal 32 8 2" xfId="3877" xr:uid="{00000000-0005-0000-0000-000027150000}"/>
    <cellStyle name="Normal 32 9" xfId="2032" xr:uid="{00000000-0005-0000-0000-000028150000}"/>
    <cellStyle name="Normal 32 9 2" xfId="4769" xr:uid="{00000000-0005-0000-0000-000029150000}"/>
    <cellStyle name="Normal 33" xfId="183" xr:uid="{00000000-0005-0000-0000-00002A150000}"/>
    <cellStyle name="Normal 33 2" xfId="351" xr:uid="{00000000-0005-0000-0000-00002B150000}"/>
    <cellStyle name="Normal 34" xfId="184" xr:uid="{00000000-0005-0000-0000-00002C150000}"/>
    <cellStyle name="Normal 34 10" xfId="2931" xr:uid="{00000000-0005-0000-0000-00002D150000}"/>
    <cellStyle name="Normal 34 2" xfId="211" xr:uid="{00000000-0005-0000-0000-00002E150000}"/>
    <cellStyle name="Normal 34 2 2" xfId="352" xr:uid="{00000000-0005-0000-0000-00002F150000}"/>
    <cellStyle name="Normal 34 2 2 2" xfId="802" xr:uid="{00000000-0005-0000-0000-000030150000}"/>
    <cellStyle name="Normal 34 2 2 2 2" xfId="1752" xr:uid="{00000000-0005-0000-0000-000031150000}"/>
    <cellStyle name="Normal 34 2 2 2 2 2" xfId="4489" xr:uid="{00000000-0005-0000-0000-000032150000}"/>
    <cellStyle name="Normal 34 2 2 2 3" xfId="2644" xr:uid="{00000000-0005-0000-0000-000033150000}"/>
    <cellStyle name="Normal 34 2 2 2 3 2" xfId="5381" xr:uid="{00000000-0005-0000-0000-000034150000}"/>
    <cellStyle name="Normal 34 2 2 2 4" xfId="3542" xr:uid="{00000000-0005-0000-0000-000035150000}"/>
    <cellStyle name="Normal 34 2 2 3" xfId="1305" xr:uid="{00000000-0005-0000-0000-000036150000}"/>
    <cellStyle name="Normal 34 2 2 3 2" xfId="4042" xr:uid="{00000000-0005-0000-0000-000037150000}"/>
    <cellStyle name="Normal 34 2 2 4" xfId="2197" xr:uid="{00000000-0005-0000-0000-000038150000}"/>
    <cellStyle name="Normal 34 2 2 4 2" xfId="4934" xr:uid="{00000000-0005-0000-0000-000039150000}"/>
    <cellStyle name="Normal 34 2 2 5" xfId="3095" xr:uid="{00000000-0005-0000-0000-00003A150000}"/>
    <cellStyle name="Normal 34 2 3" xfId="465" xr:uid="{00000000-0005-0000-0000-00003B150000}"/>
    <cellStyle name="Normal 34 2 3 2" xfId="913" xr:uid="{00000000-0005-0000-0000-00003C150000}"/>
    <cellStyle name="Normal 34 2 3 2 2" xfId="1863" xr:uid="{00000000-0005-0000-0000-00003D150000}"/>
    <cellStyle name="Normal 34 2 3 2 2 2" xfId="4600" xr:uid="{00000000-0005-0000-0000-00003E150000}"/>
    <cellStyle name="Normal 34 2 3 2 3" xfId="2755" xr:uid="{00000000-0005-0000-0000-00003F150000}"/>
    <cellStyle name="Normal 34 2 3 2 3 2" xfId="5492" xr:uid="{00000000-0005-0000-0000-000040150000}"/>
    <cellStyle name="Normal 34 2 3 2 4" xfId="3653" xr:uid="{00000000-0005-0000-0000-000041150000}"/>
    <cellStyle name="Normal 34 2 3 3" xfId="1416" xr:uid="{00000000-0005-0000-0000-000042150000}"/>
    <cellStyle name="Normal 34 2 3 3 2" xfId="4153" xr:uid="{00000000-0005-0000-0000-000043150000}"/>
    <cellStyle name="Normal 34 2 3 4" xfId="2308" xr:uid="{00000000-0005-0000-0000-000044150000}"/>
    <cellStyle name="Normal 34 2 3 4 2" xfId="5045" xr:uid="{00000000-0005-0000-0000-000045150000}"/>
    <cellStyle name="Normal 34 2 3 5" xfId="3206" xr:uid="{00000000-0005-0000-0000-000046150000}"/>
    <cellStyle name="Normal 34 2 4" xfId="604" xr:uid="{00000000-0005-0000-0000-000047150000}"/>
    <cellStyle name="Normal 34 2 4 2" xfId="1554" xr:uid="{00000000-0005-0000-0000-000048150000}"/>
    <cellStyle name="Normal 34 2 4 2 2" xfId="4291" xr:uid="{00000000-0005-0000-0000-000049150000}"/>
    <cellStyle name="Normal 34 2 4 3" xfId="2446" xr:uid="{00000000-0005-0000-0000-00004A150000}"/>
    <cellStyle name="Normal 34 2 4 3 2" xfId="5183" xr:uid="{00000000-0005-0000-0000-00004B150000}"/>
    <cellStyle name="Normal 34 2 4 4" xfId="3344" xr:uid="{00000000-0005-0000-0000-00004C150000}"/>
    <cellStyle name="Normal 34 2 5" xfId="1052" xr:uid="{00000000-0005-0000-0000-00004D150000}"/>
    <cellStyle name="Normal 34 2 5 2" xfId="3791" xr:uid="{00000000-0005-0000-0000-00004E150000}"/>
    <cellStyle name="Normal 34 2 6" xfId="1167" xr:uid="{00000000-0005-0000-0000-00004F150000}"/>
    <cellStyle name="Normal 34 2 6 2" xfId="3904" xr:uid="{00000000-0005-0000-0000-000050150000}"/>
    <cellStyle name="Normal 34 2 7" xfId="2059" xr:uid="{00000000-0005-0000-0000-000051150000}"/>
    <cellStyle name="Normal 34 2 7 2" xfId="4796" xr:uid="{00000000-0005-0000-0000-000052150000}"/>
    <cellStyle name="Normal 34 2 8" xfId="2957" xr:uid="{00000000-0005-0000-0000-000053150000}"/>
    <cellStyle name="Normal 34 3" xfId="296" xr:uid="{00000000-0005-0000-0000-000054150000}"/>
    <cellStyle name="Normal 34 3 2" xfId="550" xr:uid="{00000000-0005-0000-0000-000055150000}"/>
    <cellStyle name="Normal 34 3 2 2" xfId="998" xr:uid="{00000000-0005-0000-0000-000056150000}"/>
    <cellStyle name="Normal 34 3 2 2 2" xfId="1948" xr:uid="{00000000-0005-0000-0000-000057150000}"/>
    <cellStyle name="Normal 34 3 2 2 2 2" xfId="4685" xr:uid="{00000000-0005-0000-0000-000058150000}"/>
    <cellStyle name="Normal 34 3 2 2 3" xfId="2840" xr:uid="{00000000-0005-0000-0000-000059150000}"/>
    <cellStyle name="Normal 34 3 2 2 3 2" xfId="5577" xr:uid="{00000000-0005-0000-0000-00005A150000}"/>
    <cellStyle name="Normal 34 3 2 2 4" xfId="3738" xr:uid="{00000000-0005-0000-0000-00005B150000}"/>
    <cellStyle name="Normal 34 3 2 3" xfId="1501" xr:uid="{00000000-0005-0000-0000-00005C150000}"/>
    <cellStyle name="Normal 34 3 2 3 2" xfId="4238" xr:uid="{00000000-0005-0000-0000-00005D150000}"/>
    <cellStyle name="Normal 34 3 2 4" xfId="2393" xr:uid="{00000000-0005-0000-0000-00005E150000}"/>
    <cellStyle name="Normal 34 3 2 4 2" xfId="5130" xr:uid="{00000000-0005-0000-0000-00005F150000}"/>
    <cellStyle name="Normal 34 3 2 5" xfId="3291" xr:uid="{00000000-0005-0000-0000-000060150000}"/>
    <cellStyle name="Normal 34 3 3" xfId="749" xr:uid="{00000000-0005-0000-0000-000061150000}"/>
    <cellStyle name="Normal 34 3 3 2" xfId="1699" xr:uid="{00000000-0005-0000-0000-000062150000}"/>
    <cellStyle name="Normal 34 3 3 2 2" xfId="4436" xr:uid="{00000000-0005-0000-0000-000063150000}"/>
    <cellStyle name="Normal 34 3 3 3" xfId="2591" xr:uid="{00000000-0005-0000-0000-000064150000}"/>
    <cellStyle name="Normal 34 3 3 3 2" xfId="5328" xr:uid="{00000000-0005-0000-0000-000065150000}"/>
    <cellStyle name="Normal 34 3 3 4" xfId="3489" xr:uid="{00000000-0005-0000-0000-000066150000}"/>
    <cellStyle name="Normal 34 3 4" xfId="1252" xr:uid="{00000000-0005-0000-0000-000067150000}"/>
    <cellStyle name="Normal 34 3 4 2" xfId="3989" xr:uid="{00000000-0005-0000-0000-000068150000}"/>
    <cellStyle name="Normal 34 3 5" xfId="2144" xr:uid="{00000000-0005-0000-0000-000069150000}"/>
    <cellStyle name="Normal 34 3 5 2" xfId="4881" xr:uid="{00000000-0005-0000-0000-00006A150000}"/>
    <cellStyle name="Normal 34 3 6" xfId="3042" xr:uid="{00000000-0005-0000-0000-00006B150000}"/>
    <cellStyle name="Normal 34 4" xfId="322" xr:uid="{00000000-0005-0000-0000-00006C150000}"/>
    <cellStyle name="Normal 34 4 2" xfId="775" xr:uid="{00000000-0005-0000-0000-00006D150000}"/>
    <cellStyle name="Normal 34 4 2 2" xfId="1725" xr:uid="{00000000-0005-0000-0000-00006E150000}"/>
    <cellStyle name="Normal 34 4 2 2 2" xfId="4462" xr:uid="{00000000-0005-0000-0000-00006F150000}"/>
    <cellStyle name="Normal 34 4 2 3" xfId="2617" xr:uid="{00000000-0005-0000-0000-000070150000}"/>
    <cellStyle name="Normal 34 4 2 3 2" xfId="5354" xr:uid="{00000000-0005-0000-0000-000071150000}"/>
    <cellStyle name="Normal 34 4 2 4" xfId="3515" xr:uid="{00000000-0005-0000-0000-000072150000}"/>
    <cellStyle name="Normal 34 4 3" xfId="1278" xr:uid="{00000000-0005-0000-0000-000073150000}"/>
    <cellStyle name="Normal 34 4 3 2" xfId="4015" xr:uid="{00000000-0005-0000-0000-000074150000}"/>
    <cellStyle name="Normal 34 4 4" xfId="2170" xr:uid="{00000000-0005-0000-0000-000075150000}"/>
    <cellStyle name="Normal 34 4 4 2" xfId="4907" xr:uid="{00000000-0005-0000-0000-000076150000}"/>
    <cellStyle name="Normal 34 4 5" xfId="3068" xr:uid="{00000000-0005-0000-0000-000077150000}"/>
    <cellStyle name="Normal 34 5" xfId="439" xr:uid="{00000000-0005-0000-0000-000078150000}"/>
    <cellStyle name="Normal 34 5 2" xfId="887" xr:uid="{00000000-0005-0000-0000-000079150000}"/>
    <cellStyle name="Normal 34 5 2 2" xfId="1837" xr:uid="{00000000-0005-0000-0000-00007A150000}"/>
    <cellStyle name="Normal 34 5 2 2 2" xfId="4574" xr:uid="{00000000-0005-0000-0000-00007B150000}"/>
    <cellStyle name="Normal 34 5 2 3" xfId="2729" xr:uid="{00000000-0005-0000-0000-00007C150000}"/>
    <cellStyle name="Normal 34 5 2 3 2" xfId="5466" xr:uid="{00000000-0005-0000-0000-00007D150000}"/>
    <cellStyle name="Normal 34 5 2 4" xfId="3627" xr:uid="{00000000-0005-0000-0000-00007E150000}"/>
    <cellStyle name="Normal 34 5 3" xfId="1390" xr:uid="{00000000-0005-0000-0000-00007F150000}"/>
    <cellStyle name="Normal 34 5 3 2" xfId="4127" xr:uid="{00000000-0005-0000-0000-000080150000}"/>
    <cellStyle name="Normal 34 5 4" xfId="2282" xr:uid="{00000000-0005-0000-0000-000081150000}"/>
    <cellStyle name="Normal 34 5 4 2" xfId="5019" xr:uid="{00000000-0005-0000-0000-000082150000}"/>
    <cellStyle name="Normal 34 5 5" xfId="3180" xr:uid="{00000000-0005-0000-0000-000083150000}"/>
    <cellStyle name="Normal 34 6" xfId="577" xr:uid="{00000000-0005-0000-0000-000084150000}"/>
    <cellStyle name="Normal 34 6 2" xfId="1527" xr:uid="{00000000-0005-0000-0000-000085150000}"/>
    <cellStyle name="Normal 34 6 2 2" xfId="4264" xr:uid="{00000000-0005-0000-0000-000086150000}"/>
    <cellStyle name="Normal 34 6 3" xfId="2419" xr:uid="{00000000-0005-0000-0000-000087150000}"/>
    <cellStyle name="Normal 34 6 3 2" xfId="5156" xr:uid="{00000000-0005-0000-0000-000088150000}"/>
    <cellStyle name="Normal 34 6 4" xfId="3317" xr:uid="{00000000-0005-0000-0000-000089150000}"/>
    <cellStyle name="Normal 34 7" xfId="1025" xr:uid="{00000000-0005-0000-0000-00008A150000}"/>
    <cellStyle name="Normal 34 7 2" xfId="3764" xr:uid="{00000000-0005-0000-0000-00008B150000}"/>
    <cellStyle name="Normal 34 8" xfId="1141" xr:uid="{00000000-0005-0000-0000-00008C150000}"/>
    <cellStyle name="Normal 34 8 2" xfId="3878" xr:uid="{00000000-0005-0000-0000-00008D150000}"/>
    <cellStyle name="Normal 34 9" xfId="2033" xr:uid="{00000000-0005-0000-0000-00008E150000}"/>
    <cellStyle name="Normal 34 9 2" xfId="4770" xr:uid="{00000000-0005-0000-0000-00008F150000}"/>
    <cellStyle name="Normal 35" xfId="204" xr:uid="{00000000-0005-0000-0000-000090150000}"/>
    <cellStyle name="Normal 35 2" xfId="323" xr:uid="{00000000-0005-0000-0000-000091150000}"/>
    <cellStyle name="Normal 35 2 2" xfId="776" xr:uid="{00000000-0005-0000-0000-000092150000}"/>
    <cellStyle name="Normal 35 2 2 2" xfId="1726" xr:uid="{00000000-0005-0000-0000-000093150000}"/>
    <cellStyle name="Normal 35 2 2 2 2" xfId="4463" xr:uid="{00000000-0005-0000-0000-000094150000}"/>
    <cellStyle name="Normal 35 2 2 3" xfId="2618" xr:uid="{00000000-0005-0000-0000-000095150000}"/>
    <cellStyle name="Normal 35 2 2 3 2" xfId="5355" xr:uid="{00000000-0005-0000-0000-000096150000}"/>
    <cellStyle name="Normal 35 2 2 4" xfId="3516" xr:uid="{00000000-0005-0000-0000-000097150000}"/>
    <cellStyle name="Normal 35 2 3" xfId="1279" xr:uid="{00000000-0005-0000-0000-000098150000}"/>
    <cellStyle name="Normal 35 2 3 2" xfId="4016" xr:uid="{00000000-0005-0000-0000-000099150000}"/>
    <cellStyle name="Normal 35 2 4" xfId="2171" xr:uid="{00000000-0005-0000-0000-00009A150000}"/>
    <cellStyle name="Normal 35 2 4 2" xfId="4908" xr:uid="{00000000-0005-0000-0000-00009B150000}"/>
    <cellStyle name="Normal 35 2 5" xfId="3069" xr:uid="{00000000-0005-0000-0000-00009C150000}"/>
    <cellStyle name="Normal 35 3" xfId="578" xr:uid="{00000000-0005-0000-0000-00009D150000}"/>
    <cellStyle name="Normal 35 3 2" xfId="1528" xr:uid="{00000000-0005-0000-0000-00009E150000}"/>
    <cellStyle name="Normal 35 3 2 2" xfId="4265" xr:uid="{00000000-0005-0000-0000-00009F150000}"/>
    <cellStyle name="Normal 35 3 3" xfId="2420" xr:uid="{00000000-0005-0000-0000-0000A0150000}"/>
    <cellStyle name="Normal 35 3 3 2" xfId="5157" xr:uid="{00000000-0005-0000-0000-0000A1150000}"/>
    <cellStyle name="Normal 35 3 4" xfId="3318" xr:uid="{00000000-0005-0000-0000-0000A2150000}"/>
    <cellStyle name="Normal 35 4" xfId="1026" xr:uid="{00000000-0005-0000-0000-0000A3150000}"/>
    <cellStyle name="Normal 35 4 2" xfId="3765" xr:uid="{00000000-0005-0000-0000-0000A4150000}"/>
    <cellStyle name="Normal 36" xfId="570" xr:uid="{00000000-0005-0000-0000-0000A5150000}"/>
    <cellStyle name="Normal 36 2" xfId="1053" xr:uid="{00000000-0005-0000-0000-0000A6150000}"/>
    <cellStyle name="Normal 37" xfId="1054" xr:uid="{00000000-0005-0000-0000-0000A7150000}"/>
    <cellStyle name="Normal 38" xfId="1055" xr:uid="{00000000-0005-0000-0000-0000A8150000}"/>
    <cellStyle name="Normal 38 2" xfId="3792" xr:uid="{00000000-0005-0000-0000-0000A9150000}"/>
    <cellStyle name="Normal 39" xfId="1056" xr:uid="{00000000-0005-0000-0000-0000AA150000}"/>
    <cellStyle name="Normal 39 2" xfId="3793" xr:uid="{00000000-0005-0000-0000-0000AB150000}"/>
    <cellStyle name="Normal 4" xfId="69" xr:uid="{00000000-0005-0000-0000-0000AC150000}"/>
    <cellStyle name="Normal 40" xfId="1018" xr:uid="{00000000-0005-0000-0000-0000AD150000}"/>
    <cellStyle name="Normal 41" xfId="2842" xr:uid="{00000000-0005-0000-0000-0000AE150000}"/>
    <cellStyle name="Normal 42" xfId="2841" xr:uid="{00000000-0005-0000-0000-0000AF150000}"/>
    <cellStyle name="Normal 5" xfId="70" xr:uid="{00000000-0005-0000-0000-0000B0150000}"/>
    <cellStyle name="Normal 6" xfId="71" xr:uid="{00000000-0005-0000-0000-0000B1150000}"/>
    <cellStyle name="Normal 7" xfId="72" xr:uid="{00000000-0005-0000-0000-0000B2150000}"/>
    <cellStyle name="Normal 7 2" xfId="73" xr:uid="{00000000-0005-0000-0000-0000B3150000}"/>
    <cellStyle name="Normal 8" xfId="74" xr:uid="{00000000-0005-0000-0000-0000B4150000}"/>
    <cellStyle name="Normal 9" xfId="75" xr:uid="{00000000-0005-0000-0000-0000B5150000}"/>
    <cellStyle name="Normal_Valuation Report 033105" xfId="125" xr:uid="{00000000-0005-0000-0000-0000B6150000}"/>
    <cellStyle name="Percent" xfId="4" builtinId="5"/>
    <cellStyle name="Percent 2" xfId="76" xr:uid="{00000000-0005-0000-0000-0000B8150000}"/>
    <cellStyle name="Percent 2 10" xfId="77" xr:uid="{00000000-0005-0000-0000-0000B9150000}"/>
    <cellStyle name="Percent 2 2" xfId="78" xr:uid="{00000000-0005-0000-0000-0000BA150000}"/>
    <cellStyle name="Percent 2 3" xfId="79" xr:uid="{00000000-0005-0000-0000-0000BB150000}"/>
    <cellStyle name="Percent 2 4" xfId="80" xr:uid="{00000000-0005-0000-0000-0000BC150000}"/>
    <cellStyle name="Percent 2 5" xfId="81" xr:uid="{00000000-0005-0000-0000-0000BD150000}"/>
    <cellStyle name="Percent 2 6" xfId="82" xr:uid="{00000000-0005-0000-0000-0000BE150000}"/>
    <cellStyle name="Percent 2 7" xfId="83" xr:uid="{00000000-0005-0000-0000-0000BF150000}"/>
    <cellStyle name="Percent 2 8" xfId="84" xr:uid="{00000000-0005-0000-0000-0000C0150000}"/>
    <cellStyle name="Percent 2 9" xfId="85" xr:uid="{00000000-0005-0000-0000-0000C1150000}"/>
    <cellStyle name="Percent 3" xfId="86" xr:uid="{00000000-0005-0000-0000-0000C2150000}"/>
    <cellStyle name="Percent 3 2" xfId="87" xr:uid="{00000000-0005-0000-0000-0000C3150000}"/>
    <cellStyle name="Percent 4" xfId="88" xr:uid="{00000000-0005-0000-0000-0000C4150000}"/>
    <cellStyle name="Percent 5" xfId="89" xr:uid="{00000000-0005-0000-0000-0000C5150000}"/>
    <cellStyle name="Percent 6" xfId="90" xr:uid="{00000000-0005-0000-0000-0000C6150000}"/>
    <cellStyle name="Percent 7" xfId="91" xr:uid="{00000000-0005-0000-0000-0000C7150000}"/>
    <cellStyle name="Percent 8" xfId="354" xr:uid="{00000000-0005-0000-0000-0000C8150000}"/>
    <cellStyle name="Percent 9" xfId="2846" xr:uid="{00000000-0005-0000-0000-0000C9150000}"/>
    <cellStyle name="results" xfId="124" xr:uid="{00000000-0005-0000-0000-0000CA150000}"/>
  </cellStyles>
  <dxfs count="9">
    <dxf>
      <fill>
        <patternFill>
          <bgColor rgb="FF92D050"/>
        </patternFill>
      </fill>
    </dxf>
    <dxf>
      <fill>
        <patternFill>
          <bgColor rgb="FFFF3300"/>
        </patternFill>
      </fill>
    </dxf>
    <dxf>
      <font>
        <condense val="0"/>
        <extend val="0"/>
        <color rgb="FF9C0006"/>
      </font>
      <fill>
        <patternFill>
          <bgColor rgb="FFFFC7CE"/>
        </patternFill>
      </fill>
    </dxf>
    <dxf>
      <font>
        <strike val="0"/>
        <outline val="0"/>
        <shadow val="0"/>
        <u val="none"/>
        <vertAlign val="baseline"/>
        <color theme="1"/>
        <name val="Times New Roman"/>
        <scheme val="none"/>
      </font>
    </dxf>
    <dxf>
      <font>
        <strike val="0"/>
        <outline val="0"/>
        <shadow val="0"/>
        <u val="none"/>
        <vertAlign val="baseline"/>
        <color theme="1"/>
        <name val="Times New Roman"/>
        <scheme val="none"/>
      </font>
    </dxf>
    <dxf>
      <font>
        <strike val="0"/>
        <outline val="0"/>
        <shadow val="0"/>
        <u val="none"/>
        <vertAlign val="baseline"/>
        <color theme="1"/>
        <name val="Times New Roman"/>
        <scheme val="none"/>
      </font>
      <numFmt numFmtId="12" formatCode="&quot;$&quot;#,##0.00_);[Red]\(&quot;$&quot;#,##0.00\)"/>
    </dxf>
    <dxf>
      <font>
        <strike val="0"/>
        <outline val="0"/>
        <shadow val="0"/>
        <u val="none"/>
        <vertAlign val="baseline"/>
        <color theme="1"/>
        <name val="Times New Roman"/>
        <scheme val="none"/>
      </font>
    </dxf>
    <dxf>
      <font>
        <strike val="0"/>
        <outline val="0"/>
        <shadow val="0"/>
        <u val="none"/>
        <vertAlign val="baseline"/>
        <color theme="1"/>
        <name val="Times New Roman"/>
        <scheme val="none"/>
      </font>
    </dxf>
    <dxf>
      <font>
        <strike val="0"/>
        <outline val="0"/>
        <shadow val="0"/>
        <u val="none"/>
        <vertAlign val="baseline"/>
        <color theme="1"/>
        <name val="Times New Roman"/>
        <scheme val="none"/>
      </font>
      <fill>
        <patternFill patternType="solid">
          <fgColor indexed="64"/>
          <bgColor theme="3" tint="-0.249977111117893"/>
        </patternFill>
      </fill>
    </dxf>
  </dxfs>
  <tableStyles count="0" defaultTableStyle="TableStyleMedium2" defaultPivotStyle="PivotStyleLight16"/>
  <colors>
    <mruColors>
      <color rgb="FFFFFFCC"/>
      <color rgb="FF0000FF"/>
      <color rgb="FFB7FFFF"/>
      <color rgb="FFFF505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4.xml"/><Relationship Id="rId1" Type="http://schemas.microsoft.com/office/2011/relationships/chartStyle" Target="style4.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effectLst/>
              </a:rPr>
              <a:t>Financial Hedge Int Rate Swaps NTE (In Millions)</a:t>
            </a:r>
            <a:endParaRPr lang="en-US" sz="120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'Dashboard Condensed'!$A$126</c:f>
              <c:strCache>
                <c:ptCount val="1"/>
                <c:pt idx="0">
                  <c:v>JPM</c:v>
                </c:pt>
              </c:strCache>
            </c:strRef>
          </c:tx>
          <c:spPr>
            <a:solidFill>
              <a:schemeClr val="accent1"/>
            </a:solidFill>
            <a:ln>
              <a:noFill/>
            </a:ln>
            <a:effectLst/>
          </c:spPr>
          <c:invertIfNegative val="0"/>
          <c:cat>
            <c:numRef>
              <c:f>'Dashboard Condensed'!$B$125:$K$125</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Condensed'!$B$126:$K$126</c:f>
              <c:numCache>
                <c:formatCode>#,##0.00_);[Red]\(#,##0.00\)</c:formatCode>
                <c:ptCount val="10"/>
                <c:pt idx="0">
                  <c:v>-0.13442299999999999</c:v>
                </c:pt>
                <c:pt idx="1">
                  <c:v>-0.122652</c:v>
                </c:pt>
                <c:pt idx="2">
                  <c:v>-0.10921</c:v>
                </c:pt>
                <c:pt idx="3">
                  <c:v>-9.8958000000000004E-2</c:v>
                </c:pt>
                <c:pt idx="4">
                  <c:v>-8.8234999999999994E-2</c:v>
                </c:pt>
                <c:pt idx="5">
                  <c:v>-7.3999999999999996E-2</c:v>
                </c:pt>
                <c:pt idx="6">
                  <c:v>-6.4046000000000006E-2</c:v>
                </c:pt>
                <c:pt idx="7">
                  <c:v>-5.3530000000000001E-2</c:v>
                </c:pt>
                <c:pt idx="8">
                  <c:v>-3.9732000000000003E-2</c:v>
                </c:pt>
                <c:pt idx="9">
                  <c:v>-2.9006000000000001E-2</c:v>
                </c:pt>
              </c:numCache>
            </c:numRef>
          </c:val>
          <c:extLst>
            <c:ext xmlns:c16="http://schemas.microsoft.com/office/drawing/2014/chart" uri="{C3380CC4-5D6E-409C-BE32-E72D297353CC}">
              <c16:uniqueId val="{00000000-A629-4A92-93D9-1BA4C048F9A7}"/>
            </c:ext>
          </c:extLst>
        </c:ser>
        <c:ser>
          <c:idx val="1"/>
          <c:order val="1"/>
          <c:tx>
            <c:strRef>
              <c:f>'Dashboard Condensed'!$A$127</c:f>
              <c:strCache>
                <c:ptCount val="1"/>
                <c:pt idx="0">
                  <c:v>Loop</c:v>
                </c:pt>
              </c:strCache>
            </c:strRef>
          </c:tx>
          <c:spPr>
            <a:solidFill>
              <a:schemeClr val="accent2"/>
            </a:solidFill>
            <a:ln>
              <a:noFill/>
            </a:ln>
            <a:effectLst/>
          </c:spPr>
          <c:invertIfNegative val="0"/>
          <c:cat>
            <c:numRef>
              <c:f>'Dashboard Condensed'!$B$125:$K$125</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Condensed'!$B$127:$K$127</c:f>
              <c:numCache>
                <c:formatCode>#,##0.00_);[Red]\(#,##0.00\)</c:formatCode>
                <c:ptCount val="10"/>
                <c:pt idx="0">
                  <c:v>-1.879513</c:v>
                </c:pt>
                <c:pt idx="1">
                  <c:v>-1.797911</c:v>
                </c:pt>
                <c:pt idx="2">
                  <c:v>-1.776357</c:v>
                </c:pt>
                <c:pt idx="3">
                  <c:v>-1.7422139999999999</c:v>
                </c:pt>
                <c:pt idx="4">
                  <c:v>-1.6860710000000001</c:v>
                </c:pt>
                <c:pt idx="5">
                  <c:v>-1.6759999999999999</c:v>
                </c:pt>
                <c:pt idx="6">
                  <c:v>-1.6037809999999999</c:v>
                </c:pt>
                <c:pt idx="7">
                  <c:v>-1.49777</c:v>
                </c:pt>
                <c:pt idx="8">
                  <c:v>-1.39436</c:v>
                </c:pt>
                <c:pt idx="9">
                  <c:v>-1.339</c:v>
                </c:pt>
              </c:numCache>
            </c:numRef>
          </c:val>
          <c:extLst>
            <c:ext xmlns:c16="http://schemas.microsoft.com/office/drawing/2014/chart" uri="{C3380CC4-5D6E-409C-BE32-E72D297353CC}">
              <c16:uniqueId val="{00000001-A629-4A92-93D9-1BA4C048F9A7}"/>
            </c:ext>
          </c:extLst>
        </c:ser>
        <c:ser>
          <c:idx val="2"/>
          <c:order val="2"/>
          <c:tx>
            <c:strRef>
              <c:f>'Dashboard Condensed'!$A$128</c:f>
              <c:strCache>
                <c:ptCount val="1"/>
                <c:pt idx="0">
                  <c:v>Morgan Stanley</c:v>
                </c:pt>
              </c:strCache>
            </c:strRef>
          </c:tx>
          <c:spPr>
            <a:solidFill>
              <a:schemeClr val="accent3"/>
            </a:solidFill>
            <a:ln>
              <a:noFill/>
            </a:ln>
            <a:effectLst/>
          </c:spPr>
          <c:invertIfNegative val="0"/>
          <c:cat>
            <c:numRef>
              <c:f>'Dashboard Condensed'!$B$125:$K$125</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Condensed'!$B$128:$K$128</c:f>
              <c:numCache>
                <c:formatCode>#,##0.00_);[Red]\(#,##0.00\)</c:formatCode>
                <c:ptCount val="10"/>
                <c:pt idx="0">
                  <c:v>-0.13881199999999999</c:v>
                </c:pt>
                <c:pt idx="1">
                  <c:v>-0.12665599999999999</c:v>
                </c:pt>
                <c:pt idx="2">
                  <c:v>-0.112775</c:v>
                </c:pt>
                <c:pt idx="3">
                  <c:v>-0.102189</c:v>
                </c:pt>
                <c:pt idx="4">
                  <c:v>-9.1116000000000003E-2</c:v>
                </c:pt>
                <c:pt idx="5">
                  <c:v>-7.7147999999999994E-2</c:v>
                </c:pt>
                <c:pt idx="6">
                  <c:v>-6.6137000000000001E-2</c:v>
                </c:pt>
                <c:pt idx="7">
                  <c:v>-5.5280000000000003E-2</c:v>
                </c:pt>
                <c:pt idx="8">
                  <c:v>-4.1029000000000003E-2</c:v>
                </c:pt>
                <c:pt idx="9">
                  <c:v>-2.9953E-2</c:v>
                </c:pt>
              </c:numCache>
            </c:numRef>
          </c:val>
          <c:extLst>
            <c:ext xmlns:c16="http://schemas.microsoft.com/office/drawing/2014/chart" uri="{C3380CC4-5D6E-409C-BE32-E72D297353CC}">
              <c16:uniqueId val="{00000002-A629-4A92-93D9-1BA4C048F9A7}"/>
            </c:ext>
          </c:extLst>
        </c:ser>
        <c:dLbls>
          <c:showLegendKey val="0"/>
          <c:showVal val="0"/>
          <c:showCatName val="0"/>
          <c:showSerName val="0"/>
          <c:showPercent val="0"/>
          <c:showBubbleSize val="0"/>
        </c:dLbls>
        <c:gapWidth val="150"/>
        <c:overlap val="100"/>
        <c:axId val="595665776"/>
        <c:axId val="595666104"/>
      </c:barChart>
      <c:dateAx>
        <c:axId val="595665776"/>
        <c:scaling>
          <c:orientation val="minMax"/>
        </c:scaling>
        <c:delete val="0"/>
        <c:axPos val="b"/>
        <c:numFmt formatCode="mmmyy" sourceLinked="1"/>
        <c:majorTickMark val="out"/>
        <c:minorTickMark val="none"/>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595666104"/>
        <c:crosses val="autoZero"/>
        <c:auto val="1"/>
        <c:lblOffset val="100"/>
        <c:baseTimeUnit val="months"/>
      </c:dateAx>
      <c:valAx>
        <c:axId val="595666104"/>
        <c:scaling>
          <c:orientation val="minMax"/>
        </c:scaling>
        <c:delete val="0"/>
        <c:axPos val="l"/>
        <c:majorGridlines>
          <c:spPr>
            <a:ln w="9525" cap="flat" cmpd="sng" algn="ctr">
              <a:solidFill>
                <a:schemeClr val="tx1">
                  <a:lumMod val="15000"/>
                  <a:lumOff val="85000"/>
                </a:schemeClr>
              </a:solidFill>
              <a:round/>
            </a:ln>
            <a:effectLst/>
          </c:spPr>
        </c:majorGridlines>
        <c:numFmt formatCode="#,##0.00_);[Red]\(#,##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56657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n-US" sz="1600"/>
              <a:t>Morgan Stanley</a:t>
            </a:r>
            <a:br>
              <a:rPr lang="en-US" sz="1600"/>
            </a:br>
            <a:r>
              <a:rPr lang="en-US" sz="1600" b="1" i="0" u="none" strike="noStrike" baseline="0"/>
              <a:t>($ Millions)</a:t>
            </a:r>
            <a:endParaRPr lang="en-US" sz="1600"/>
          </a:p>
        </c:rich>
      </c:tx>
      <c:overlay val="0"/>
    </c:title>
    <c:autoTitleDeleted val="0"/>
    <c:plotArea>
      <c:layout/>
      <c:barChart>
        <c:barDir val="col"/>
        <c:grouping val="clustered"/>
        <c:varyColors val="0"/>
        <c:ser>
          <c:idx val="0"/>
          <c:order val="0"/>
          <c:tx>
            <c:strRef>
              <c:f>'Chart-Data'!$B$9</c:f>
              <c:strCache>
                <c:ptCount val="1"/>
                <c:pt idx="0">
                  <c:v>Morgan Stanley Capital Services Inc.</c:v>
                </c:pt>
              </c:strCache>
            </c:strRef>
          </c:tx>
          <c:spPr>
            <a:solidFill>
              <a:schemeClr val="accent5">
                <a:lumMod val="75000"/>
              </a:schemeClr>
            </a:solidFill>
          </c:spPr>
          <c:invertIfNegative val="0"/>
          <c:cat>
            <c:numRef>
              <c:f>'Chart-Data'!$DM$70:$DX$70</c:f>
              <c:numCache>
                <c:formatCode>mmmyy</c:formatCode>
                <c:ptCount val="12"/>
                <c:pt idx="0">
                  <c:v>41773</c:v>
                </c:pt>
                <c:pt idx="1">
                  <c:v>41773</c:v>
                </c:pt>
                <c:pt idx="2">
                  <c:v>41773</c:v>
                </c:pt>
                <c:pt idx="3">
                  <c:v>41743</c:v>
                </c:pt>
                <c:pt idx="4">
                  <c:v>41712</c:v>
                </c:pt>
                <c:pt idx="5">
                  <c:v>41684</c:v>
                </c:pt>
                <c:pt idx="6">
                  <c:v>41653</c:v>
                </c:pt>
                <c:pt idx="7">
                  <c:v>41621</c:v>
                </c:pt>
                <c:pt idx="8">
                  <c:v>41591</c:v>
                </c:pt>
                <c:pt idx="9">
                  <c:v>41560</c:v>
                </c:pt>
                <c:pt idx="10">
                  <c:v>41530</c:v>
                </c:pt>
                <c:pt idx="11">
                  <c:v>41499</c:v>
                </c:pt>
              </c:numCache>
            </c:numRef>
          </c:cat>
          <c:val>
            <c:numRef>
              <c:f>'Chart-Data'!$DM$76:$DX$76</c:f>
              <c:numCache>
                <c:formatCode>_("$"* #,##0.00_);_("$"* \(#,##0.00\);_("$"* "-"??_);_(@_)</c:formatCode>
                <c:ptCount val="12"/>
                <c:pt idx="0">
                  <c:v>16.369260000000001</c:v>
                </c:pt>
                <c:pt idx="1">
                  <c:v>0</c:v>
                </c:pt>
                <c:pt idx="2">
                  <c:v>0</c:v>
                </c:pt>
                <c:pt idx="3">
                  <c:v>15.59912233</c:v>
                </c:pt>
                <c:pt idx="4">
                  <c:v>15.18394777</c:v>
                </c:pt>
                <c:pt idx="5">
                  <c:v>15.562616390000001</c:v>
                </c:pt>
                <c:pt idx="6">
                  <c:v>17.39634371</c:v>
                </c:pt>
                <c:pt idx="7">
                  <c:v>16.316679399999998</c:v>
                </c:pt>
                <c:pt idx="8">
                  <c:v>17.4912378</c:v>
                </c:pt>
                <c:pt idx="9">
                  <c:v>17.569483129999998</c:v>
                </c:pt>
                <c:pt idx="10">
                  <c:v>16.987170509999999</c:v>
                </c:pt>
                <c:pt idx="11">
                  <c:v>15.80911395</c:v>
                </c:pt>
              </c:numCache>
            </c:numRef>
          </c:val>
          <c:extLst>
            <c:ext xmlns:c16="http://schemas.microsoft.com/office/drawing/2014/chart" uri="{C3380CC4-5D6E-409C-BE32-E72D297353CC}">
              <c16:uniqueId val="{00000000-5FBB-47FA-AF45-E125F8D6E962}"/>
            </c:ext>
          </c:extLst>
        </c:ser>
        <c:dLbls>
          <c:showLegendKey val="0"/>
          <c:showVal val="0"/>
          <c:showCatName val="0"/>
          <c:showSerName val="0"/>
          <c:showPercent val="0"/>
          <c:showBubbleSize val="0"/>
        </c:dLbls>
        <c:gapWidth val="150"/>
        <c:axId val="470280568"/>
        <c:axId val="470280960"/>
      </c:barChart>
      <c:dateAx>
        <c:axId val="470280568"/>
        <c:scaling>
          <c:orientation val="minMax"/>
        </c:scaling>
        <c:delete val="0"/>
        <c:axPos val="b"/>
        <c:numFmt formatCode="[$-409]mmm\-yy;@" sourceLinked="0"/>
        <c:majorTickMark val="out"/>
        <c:minorTickMark val="none"/>
        <c:tickLblPos val="nextTo"/>
        <c:txPr>
          <a:bodyPr/>
          <a:lstStyle/>
          <a:p>
            <a:pPr>
              <a:defRPr sz="1200"/>
            </a:pPr>
            <a:endParaRPr lang="en-US"/>
          </a:p>
        </c:txPr>
        <c:crossAx val="470280960"/>
        <c:crosses val="autoZero"/>
        <c:auto val="1"/>
        <c:lblOffset val="100"/>
        <c:baseTimeUnit val="months"/>
      </c:dateAx>
      <c:valAx>
        <c:axId val="470280960"/>
        <c:scaling>
          <c:orientation val="minMax"/>
          <c:min val="0"/>
        </c:scaling>
        <c:delete val="0"/>
        <c:axPos val="r"/>
        <c:majorGridlines/>
        <c:title>
          <c:tx>
            <c:rich>
              <a:bodyPr rot="-5400000" vert="horz"/>
              <a:lstStyle/>
              <a:p>
                <a:pPr>
                  <a:defRPr/>
                </a:pPr>
                <a:r>
                  <a:rPr lang="en-US" sz="1400" b="1" i="0" baseline="0"/>
                  <a:t>Termination Value</a:t>
                </a:r>
                <a:endParaRPr lang="en-US" sz="1400"/>
              </a:p>
            </c:rich>
          </c:tx>
          <c:overlay val="0"/>
        </c:title>
        <c:numFmt formatCode="&quot;$&quot;#,##0" sourceLinked="0"/>
        <c:majorTickMark val="out"/>
        <c:minorTickMark val="none"/>
        <c:tickLblPos val="nextTo"/>
        <c:txPr>
          <a:bodyPr/>
          <a:lstStyle/>
          <a:p>
            <a:pPr>
              <a:defRPr sz="1400"/>
            </a:pPr>
            <a:endParaRPr lang="en-US"/>
          </a:p>
        </c:txPr>
        <c:crossAx val="470280568"/>
        <c:crosses val="max"/>
        <c:crossBetween val="between"/>
      </c:valAx>
    </c:plotArea>
    <c:plotVisOnly val="1"/>
    <c:dispBlanksAs val="gap"/>
    <c:showDLblsOverMax val="0"/>
  </c:chart>
  <c:spPr>
    <a:solidFill>
      <a:srgbClr val="FFFFCC"/>
    </a:solidFill>
  </c:spPr>
  <c:printSettings>
    <c:headerFooter/>
    <c:pageMargins b="0.75000000000000477" l="0.70000000000000062" r="0.70000000000000062" t="0.75000000000000477" header="0.30000000000000032" footer="0.30000000000000032"/>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n-US" sz="1600"/>
              <a:t>Sequent Energy</a:t>
            </a:r>
            <a:r>
              <a:rPr lang="en-US" sz="1600" baseline="0"/>
              <a:t> Management, LP</a:t>
            </a:r>
            <a:br>
              <a:rPr lang="en-US" sz="1600"/>
            </a:br>
            <a:r>
              <a:rPr lang="en-US" sz="1600" b="1" i="0" u="none" strike="noStrike" baseline="0"/>
              <a:t>($ Millions)</a:t>
            </a:r>
            <a:endParaRPr lang="en-US" sz="1600"/>
          </a:p>
        </c:rich>
      </c:tx>
      <c:overlay val="0"/>
    </c:title>
    <c:autoTitleDeleted val="0"/>
    <c:plotArea>
      <c:layout/>
      <c:barChart>
        <c:barDir val="col"/>
        <c:grouping val="clustered"/>
        <c:varyColors val="0"/>
        <c:ser>
          <c:idx val="0"/>
          <c:order val="0"/>
          <c:tx>
            <c:strRef>
              <c:f>'Chart-Data'!$B$10</c:f>
              <c:strCache>
                <c:ptCount val="1"/>
                <c:pt idx="0">
                  <c:v>Sequent Energy Management, LP</c:v>
                </c:pt>
              </c:strCache>
            </c:strRef>
          </c:tx>
          <c:spPr>
            <a:solidFill>
              <a:schemeClr val="accent6">
                <a:lumMod val="75000"/>
              </a:schemeClr>
            </a:solidFill>
          </c:spPr>
          <c:invertIfNegative val="0"/>
          <c:cat>
            <c:numRef>
              <c:f>'Chart-Data'!$DM$70:$DX$70</c:f>
              <c:numCache>
                <c:formatCode>mmmyy</c:formatCode>
                <c:ptCount val="12"/>
                <c:pt idx="0">
                  <c:v>41773</c:v>
                </c:pt>
                <c:pt idx="1">
                  <c:v>41773</c:v>
                </c:pt>
                <c:pt idx="2">
                  <c:v>41773</c:v>
                </c:pt>
                <c:pt idx="3">
                  <c:v>41743</c:v>
                </c:pt>
                <c:pt idx="4">
                  <c:v>41712</c:v>
                </c:pt>
                <c:pt idx="5">
                  <c:v>41684</c:v>
                </c:pt>
                <c:pt idx="6">
                  <c:v>41653</c:v>
                </c:pt>
                <c:pt idx="7">
                  <c:v>41621</c:v>
                </c:pt>
                <c:pt idx="8">
                  <c:v>41591</c:v>
                </c:pt>
                <c:pt idx="9">
                  <c:v>41560</c:v>
                </c:pt>
                <c:pt idx="10">
                  <c:v>41530</c:v>
                </c:pt>
                <c:pt idx="11">
                  <c:v>41499</c:v>
                </c:pt>
              </c:numCache>
            </c:numRef>
          </c:cat>
          <c:val>
            <c:numRef>
              <c:f>'Chart-Data'!$DM$77:$DX$77</c:f>
              <c:numCache>
                <c:formatCode>_("$"* #,##0.00_);_("$"* \(#,##0.00\);_("$"* "-"??_);_(@_)</c:formatCode>
                <c:ptCount val="12"/>
                <c:pt idx="0">
                  <c:v>-1.059153</c:v>
                </c:pt>
                <c:pt idx="1">
                  <c:v>0</c:v>
                </c:pt>
                <c:pt idx="2">
                  <c:v>0</c:v>
                </c:pt>
                <c:pt idx="3">
                  <c:v>-0.76319000000000004</c:v>
                </c:pt>
                <c:pt idx="4">
                  <c:v>-1.0326759999999999</c:v>
                </c:pt>
                <c:pt idx="5">
                  <c:v>1.025576</c:v>
                </c:pt>
                <c:pt idx="6">
                  <c:v>1.8138540000000001</c:v>
                </c:pt>
                <c:pt idx="7">
                  <c:v>0.97752899999999998</c:v>
                </c:pt>
                <c:pt idx="8">
                  <c:v>1.3448420000000001</c:v>
                </c:pt>
                <c:pt idx="9">
                  <c:v>3.9308719999999999</c:v>
                </c:pt>
                <c:pt idx="10">
                  <c:v>3.1211289999999998</c:v>
                </c:pt>
                <c:pt idx="11">
                  <c:v>2.7665820000000001</c:v>
                </c:pt>
              </c:numCache>
            </c:numRef>
          </c:val>
          <c:extLst>
            <c:ext xmlns:c16="http://schemas.microsoft.com/office/drawing/2014/chart" uri="{C3380CC4-5D6E-409C-BE32-E72D297353CC}">
              <c16:uniqueId val="{00000000-AE0B-439F-97BD-9A1BEC174494}"/>
            </c:ext>
          </c:extLst>
        </c:ser>
        <c:dLbls>
          <c:showLegendKey val="0"/>
          <c:showVal val="0"/>
          <c:showCatName val="0"/>
          <c:showSerName val="0"/>
          <c:showPercent val="0"/>
          <c:showBubbleSize val="0"/>
        </c:dLbls>
        <c:gapWidth val="150"/>
        <c:axId val="472027752"/>
        <c:axId val="472028144"/>
      </c:barChart>
      <c:dateAx>
        <c:axId val="472027752"/>
        <c:scaling>
          <c:orientation val="minMax"/>
        </c:scaling>
        <c:delete val="0"/>
        <c:axPos val="b"/>
        <c:numFmt formatCode="[$-409]mmm\-yy;@" sourceLinked="0"/>
        <c:majorTickMark val="out"/>
        <c:minorTickMark val="none"/>
        <c:tickLblPos val="nextTo"/>
        <c:txPr>
          <a:bodyPr rot="-3060000"/>
          <a:lstStyle/>
          <a:p>
            <a:pPr>
              <a:defRPr sz="1200"/>
            </a:pPr>
            <a:endParaRPr lang="en-US"/>
          </a:p>
        </c:txPr>
        <c:crossAx val="472028144"/>
        <c:crosses val="autoZero"/>
        <c:auto val="1"/>
        <c:lblOffset val="100"/>
        <c:baseTimeUnit val="months"/>
      </c:dateAx>
      <c:valAx>
        <c:axId val="472028144"/>
        <c:scaling>
          <c:orientation val="minMax"/>
        </c:scaling>
        <c:delete val="0"/>
        <c:axPos val="r"/>
        <c:majorGridlines/>
        <c:title>
          <c:tx>
            <c:rich>
              <a:bodyPr rot="-5400000" vert="horz"/>
              <a:lstStyle/>
              <a:p>
                <a:pPr>
                  <a:defRPr/>
                </a:pPr>
                <a:r>
                  <a:rPr lang="en-US" sz="1400" b="1" i="0" baseline="0"/>
                  <a:t>Termination Value</a:t>
                </a:r>
                <a:endParaRPr lang="en-US" sz="1400"/>
              </a:p>
            </c:rich>
          </c:tx>
          <c:overlay val="0"/>
        </c:title>
        <c:numFmt formatCode="&quot;$&quot;#,##0" sourceLinked="0"/>
        <c:majorTickMark val="out"/>
        <c:minorTickMark val="none"/>
        <c:tickLblPos val="nextTo"/>
        <c:txPr>
          <a:bodyPr/>
          <a:lstStyle/>
          <a:p>
            <a:pPr>
              <a:defRPr sz="1400"/>
            </a:pPr>
            <a:endParaRPr lang="en-US"/>
          </a:p>
        </c:txPr>
        <c:crossAx val="472027752"/>
        <c:crosses val="max"/>
        <c:crossBetween val="between"/>
      </c:valAx>
    </c:plotArea>
    <c:plotVisOnly val="1"/>
    <c:dispBlanksAs val="gap"/>
    <c:showDLblsOverMax val="0"/>
  </c:chart>
  <c:spPr>
    <a:solidFill>
      <a:srgbClr val="FFFFCC"/>
    </a:solidFill>
  </c:spPr>
  <c:printSettings>
    <c:headerFooter/>
    <c:pageMargins b="0.75000000000000477" l="0.70000000000000062" r="0.70000000000000062" t="0.75000000000000477" header="0.30000000000000032" footer="0.30000000000000032"/>
    <c:pageSetup orientation="portrait"/>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n-US" sz="1600"/>
              <a:t>NRG Engergy</a:t>
            </a:r>
            <a:r>
              <a:rPr lang="en-US" sz="1600" baseline="0"/>
              <a:t> Inc.</a:t>
            </a:r>
            <a:br>
              <a:rPr lang="en-US" sz="1600"/>
            </a:br>
            <a:r>
              <a:rPr lang="en-US" sz="1600" b="1" i="0" u="none" strike="noStrike" baseline="0"/>
              <a:t>($ Millions)</a:t>
            </a:r>
            <a:endParaRPr lang="en-US" sz="1600"/>
          </a:p>
        </c:rich>
      </c:tx>
      <c:overlay val="0"/>
    </c:title>
    <c:autoTitleDeleted val="0"/>
    <c:plotArea>
      <c:layout>
        <c:manualLayout>
          <c:layoutTarget val="inner"/>
          <c:xMode val="edge"/>
          <c:yMode val="edge"/>
          <c:x val="0.20082486407912847"/>
          <c:y val="0.18131691109322939"/>
          <c:w val="0.62601079262395665"/>
          <c:h val="0.6105584222988899"/>
        </c:manualLayout>
      </c:layout>
      <c:barChart>
        <c:barDir val="col"/>
        <c:grouping val="clustered"/>
        <c:varyColors val="0"/>
        <c:ser>
          <c:idx val="0"/>
          <c:order val="0"/>
          <c:tx>
            <c:strRef>
              <c:f>'Chart-Data'!$B$11</c:f>
              <c:strCache>
                <c:ptCount val="1"/>
                <c:pt idx="0">
                  <c:v>NRG Energy, Inc.</c:v>
                </c:pt>
              </c:strCache>
            </c:strRef>
          </c:tx>
          <c:spPr>
            <a:solidFill>
              <a:schemeClr val="tx2">
                <a:lumMod val="75000"/>
              </a:schemeClr>
            </a:solidFill>
          </c:spPr>
          <c:invertIfNegative val="0"/>
          <c:cat>
            <c:numRef>
              <c:f>'Chart-Data'!$DM$70:$DX$70</c:f>
              <c:numCache>
                <c:formatCode>mmmyy</c:formatCode>
                <c:ptCount val="12"/>
                <c:pt idx="0">
                  <c:v>41773</c:v>
                </c:pt>
                <c:pt idx="1">
                  <c:v>41773</c:v>
                </c:pt>
                <c:pt idx="2">
                  <c:v>41773</c:v>
                </c:pt>
                <c:pt idx="3">
                  <c:v>41743</c:v>
                </c:pt>
                <c:pt idx="4">
                  <c:v>41712</c:v>
                </c:pt>
                <c:pt idx="5">
                  <c:v>41684</c:v>
                </c:pt>
                <c:pt idx="6">
                  <c:v>41653</c:v>
                </c:pt>
                <c:pt idx="7">
                  <c:v>41621</c:v>
                </c:pt>
                <c:pt idx="8">
                  <c:v>41591</c:v>
                </c:pt>
                <c:pt idx="9">
                  <c:v>41560</c:v>
                </c:pt>
                <c:pt idx="10">
                  <c:v>41530</c:v>
                </c:pt>
                <c:pt idx="11">
                  <c:v>41499</c:v>
                </c:pt>
              </c:numCache>
            </c:numRef>
          </c:cat>
          <c:val>
            <c:numRef>
              <c:f>'Chart-Data'!$DM$78:$DX$78</c:f>
              <c:numCache>
                <c:formatCode>_("$"* #,##0.00_);_("$"* \(#,##0.00\);_("$"* "-"??_);_(@_)</c:formatCode>
                <c:ptCount val="12"/>
                <c:pt idx="0">
                  <c:v>0.01</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6839-4CC9-9BB0-F7EC66BF5280}"/>
            </c:ext>
          </c:extLst>
        </c:ser>
        <c:dLbls>
          <c:showLegendKey val="0"/>
          <c:showVal val="0"/>
          <c:showCatName val="0"/>
          <c:showSerName val="0"/>
          <c:showPercent val="0"/>
          <c:showBubbleSize val="0"/>
        </c:dLbls>
        <c:gapWidth val="150"/>
        <c:axId val="472028928"/>
        <c:axId val="472029320"/>
      </c:barChart>
      <c:dateAx>
        <c:axId val="472028928"/>
        <c:scaling>
          <c:orientation val="minMax"/>
        </c:scaling>
        <c:delete val="0"/>
        <c:axPos val="b"/>
        <c:numFmt formatCode="[$-409]mmm\-yy;@" sourceLinked="0"/>
        <c:majorTickMark val="out"/>
        <c:minorTickMark val="none"/>
        <c:tickLblPos val="low"/>
        <c:txPr>
          <a:bodyPr/>
          <a:lstStyle/>
          <a:p>
            <a:pPr>
              <a:defRPr sz="1200"/>
            </a:pPr>
            <a:endParaRPr lang="en-US"/>
          </a:p>
        </c:txPr>
        <c:crossAx val="472029320"/>
        <c:crosses val="autoZero"/>
        <c:auto val="1"/>
        <c:lblOffset val="100"/>
        <c:baseTimeUnit val="months"/>
      </c:dateAx>
      <c:valAx>
        <c:axId val="472029320"/>
        <c:scaling>
          <c:orientation val="minMax"/>
        </c:scaling>
        <c:delete val="0"/>
        <c:axPos val="r"/>
        <c:majorGridlines/>
        <c:title>
          <c:tx>
            <c:rich>
              <a:bodyPr rot="-5400000" vert="horz"/>
              <a:lstStyle/>
              <a:p>
                <a:pPr>
                  <a:defRPr/>
                </a:pPr>
                <a:r>
                  <a:rPr lang="en-US" sz="1400" b="1" i="0" baseline="0"/>
                  <a:t>Termination Value</a:t>
                </a:r>
                <a:endParaRPr lang="en-US" sz="1400"/>
              </a:p>
            </c:rich>
          </c:tx>
          <c:overlay val="0"/>
        </c:title>
        <c:numFmt formatCode="&quot;$&quot;#,##0.0000" sourceLinked="0"/>
        <c:majorTickMark val="out"/>
        <c:minorTickMark val="none"/>
        <c:tickLblPos val="nextTo"/>
        <c:txPr>
          <a:bodyPr/>
          <a:lstStyle/>
          <a:p>
            <a:pPr>
              <a:defRPr sz="1400"/>
            </a:pPr>
            <a:endParaRPr lang="en-US"/>
          </a:p>
        </c:txPr>
        <c:crossAx val="472028928"/>
        <c:crosses val="max"/>
        <c:crossBetween val="between"/>
        <c:majorUnit val="2.0000000000000005E-3"/>
      </c:valAx>
    </c:plotArea>
    <c:plotVisOnly val="1"/>
    <c:dispBlanksAs val="gap"/>
    <c:showDLblsOverMax val="0"/>
  </c:chart>
  <c:spPr>
    <a:solidFill>
      <a:srgbClr val="FFFFCC"/>
    </a:solidFill>
  </c:spPr>
  <c:printSettings>
    <c:headerFooter/>
    <c:pageMargins b="0.75000000000000477" l="0.70000000000000062" r="0.70000000000000062" t="0.75000000000000477"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baseline="0">
                <a:effectLst/>
              </a:rPr>
              <a:t>Energy Hedges NTE - Futures (Financial) &amp; Forward Purchases (Physical)</a:t>
            </a:r>
          </a:p>
          <a:p>
            <a:pPr>
              <a:defRPr/>
            </a:pPr>
            <a:r>
              <a:rPr lang="en-US" sz="1200" b="1" i="0" baseline="0">
                <a:effectLst/>
              </a:rPr>
              <a:t>(In Millions)</a:t>
            </a:r>
            <a:endParaRPr lang="en-US" sz="1200">
              <a:effectLst/>
            </a:endParaRPr>
          </a:p>
        </c:rich>
      </c:tx>
      <c:layout>
        <c:manualLayout>
          <c:xMode val="edge"/>
          <c:yMode val="edge"/>
          <c:x val="0.11889724867643792"/>
          <c:y val="2.807017543859649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'Dashboard Condensed'!$A$135</c:f>
              <c:strCache>
                <c:ptCount val="1"/>
                <c:pt idx="0">
                  <c:v>StoneX</c:v>
                </c:pt>
              </c:strCache>
            </c:strRef>
          </c:tx>
          <c:spPr>
            <a:solidFill>
              <a:schemeClr val="accent1"/>
            </a:solidFill>
            <a:ln>
              <a:noFill/>
            </a:ln>
            <a:effectLst/>
          </c:spPr>
          <c:invertIfNegative val="0"/>
          <c:cat>
            <c:numRef>
              <c:f>'Dashboard Condensed'!$B$134:$K$134</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Condensed'!$B$135:$K$135</c:f>
              <c:numCache>
                <c:formatCode>#,##0.00_);[Red]\(#,##0.00\)</c:formatCode>
                <c:ptCount val="10"/>
                <c:pt idx="0">
                  <c:v>-0.28000000000000114</c:v>
                </c:pt>
                <c:pt idx="1">
                  <c:v>-0.25</c:v>
                </c:pt>
                <c:pt idx="2">
                  <c:v>4.0000000000000924E-2</c:v>
                </c:pt>
                <c:pt idx="3">
                  <c:v>9.9999999999999645E-2</c:v>
                </c:pt>
                <c:pt idx="4">
                  <c:v>1.2100000000000009</c:v>
                </c:pt>
                <c:pt idx="5">
                  <c:v>1.7100000000000009</c:v>
                </c:pt>
                <c:pt idx="6">
                  <c:v>2.5299999999999976</c:v>
                </c:pt>
                <c:pt idx="7">
                  <c:v>4.3499999999999979</c:v>
                </c:pt>
                <c:pt idx="8">
                  <c:v>4.3999999999999986</c:v>
                </c:pt>
                <c:pt idx="9">
                  <c:v>4.0300000000000011</c:v>
                </c:pt>
              </c:numCache>
            </c:numRef>
          </c:val>
          <c:extLst>
            <c:ext xmlns:c16="http://schemas.microsoft.com/office/drawing/2014/chart" uri="{C3380CC4-5D6E-409C-BE32-E72D297353CC}">
              <c16:uniqueId val="{00000000-86AB-4D2C-9E3E-20D715A898DB}"/>
            </c:ext>
          </c:extLst>
        </c:ser>
        <c:ser>
          <c:idx val="1"/>
          <c:order val="1"/>
          <c:tx>
            <c:strRef>
              <c:f>'Dashboard Condensed'!$A$136</c:f>
              <c:strCache>
                <c:ptCount val="1"/>
                <c:pt idx="0">
                  <c:v>EDF Energy Svcs</c:v>
                </c:pt>
              </c:strCache>
            </c:strRef>
          </c:tx>
          <c:spPr>
            <a:solidFill>
              <a:schemeClr val="accent2"/>
            </a:solidFill>
            <a:ln>
              <a:noFill/>
            </a:ln>
            <a:effectLst/>
          </c:spPr>
          <c:invertIfNegative val="0"/>
          <c:cat>
            <c:numRef>
              <c:f>'Dashboard Condensed'!$B$134:$K$134</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Condensed'!$B$136:$K$136</c:f>
              <c:numCache>
                <c:formatCode>#,##0.00_);[Red]\(#,##0.00\)</c:formatCode>
                <c:ptCount val="10"/>
                <c:pt idx="0">
                  <c:v>0.58999999999999986</c:v>
                </c:pt>
                <c:pt idx="1">
                  <c:v>0.29000000000000004</c:v>
                </c:pt>
                <c:pt idx="2">
                  <c:v>0.67999999999999972</c:v>
                </c:pt>
                <c:pt idx="3">
                  <c:v>0.75</c:v>
                </c:pt>
                <c:pt idx="4">
                  <c:v>1.6600000000000001</c:v>
                </c:pt>
                <c:pt idx="5">
                  <c:v>2.0599999999999996</c:v>
                </c:pt>
                <c:pt idx="6">
                  <c:v>2.4299999999999997</c:v>
                </c:pt>
                <c:pt idx="7">
                  <c:v>3.9099999999999997</c:v>
                </c:pt>
                <c:pt idx="8">
                  <c:v>3.1799999999999997</c:v>
                </c:pt>
                <c:pt idx="9">
                  <c:v>2.08</c:v>
                </c:pt>
              </c:numCache>
            </c:numRef>
          </c:val>
          <c:extLst>
            <c:ext xmlns:c16="http://schemas.microsoft.com/office/drawing/2014/chart" uri="{C3380CC4-5D6E-409C-BE32-E72D297353CC}">
              <c16:uniqueId val="{00000001-86AB-4D2C-9E3E-20D715A898DB}"/>
            </c:ext>
          </c:extLst>
        </c:ser>
        <c:ser>
          <c:idx val="2"/>
          <c:order val="2"/>
          <c:tx>
            <c:strRef>
              <c:f>'Dashboard Condensed'!$A$137</c:f>
              <c:strCache>
                <c:ptCount val="1"/>
                <c:pt idx="0">
                  <c:v>BP</c:v>
                </c:pt>
              </c:strCache>
            </c:strRef>
          </c:tx>
          <c:spPr>
            <a:solidFill>
              <a:schemeClr val="accent3"/>
            </a:solidFill>
            <a:ln>
              <a:noFill/>
            </a:ln>
            <a:effectLst/>
          </c:spPr>
          <c:invertIfNegative val="0"/>
          <c:cat>
            <c:numRef>
              <c:f>'Dashboard Condensed'!$B$134:$K$134</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Condensed'!$B$137:$K$137</c:f>
              <c:numCache>
                <c:formatCode>#,##0.00_);[Red]\(#,##0.00\)</c:formatCode>
                <c:ptCount val="10"/>
                <c:pt idx="0">
                  <c:v>1.0999999999999996</c:v>
                </c:pt>
                <c:pt idx="1">
                  <c:v>1.0900000000000016</c:v>
                </c:pt>
                <c:pt idx="2">
                  <c:v>1.3800000000000008</c:v>
                </c:pt>
                <c:pt idx="3">
                  <c:v>1.7400000000000002</c:v>
                </c:pt>
                <c:pt idx="4">
                  <c:v>3.1499999999999986</c:v>
                </c:pt>
                <c:pt idx="5">
                  <c:v>4.1500000000000021</c:v>
                </c:pt>
                <c:pt idx="6">
                  <c:v>5.0499999999999989</c:v>
                </c:pt>
                <c:pt idx="7">
                  <c:v>8.24</c:v>
                </c:pt>
                <c:pt idx="8">
                  <c:v>8</c:v>
                </c:pt>
                <c:pt idx="9">
                  <c:v>6.6799999999999979</c:v>
                </c:pt>
              </c:numCache>
            </c:numRef>
          </c:val>
          <c:extLst>
            <c:ext xmlns:c16="http://schemas.microsoft.com/office/drawing/2014/chart" uri="{C3380CC4-5D6E-409C-BE32-E72D297353CC}">
              <c16:uniqueId val="{00000002-86AB-4D2C-9E3E-20D715A898DB}"/>
            </c:ext>
          </c:extLst>
        </c:ser>
        <c:ser>
          <c:idx val="3"/>
          <c:order val="3"/>
          <c:tx>
            <c:strRef>
              <c:f>'Dashboard Condensed'!$A$138</c:f>
              <c:strCache>
                <c:ptCount val="1"/>
                <c:pt idx="0">
                  <c:v>Direct Energy</c:v>
                </c:pt>
              </c:strCache>
            </c:strRef>
          </c:tx>
          <c:spPr>
            <a:solidFill>
              <a:schemeClr val="accent4"/>
            </a:solidFill>
            <a:ln>
              <a:noFill/>
            </a:ln>
            <a:effectLst/>
          </c:spPr>
          <c:invertIfNegative val="0"/>
          <c:cat>
            <c:numRef>
              <c:f>'Dashboard Condensed'!$B$134:$K$134</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Condensed'!$B$138:$K$138</c:f>
              <c:numCache>
                <c:formatCode>#,##0.00_);[Red]\(#,##0.00\)</c:formatCode>
                <c:ptCount val="10"/>
                <c:pt idx="0">
                  <c:v>6.999999999999984E-2</c:v>
                </c:pt>
                <c:pt idx="1">
                  <c:v>3.0000000000000027E-2</c:v>
                </c:pt>
                <c:pt idx="2">
                  <c:v>9.000000000000008E-2</c:v>
                </c:pt>
                <c:pt idx="3">
                  <c:v>0.1100000000000001</c:v>
                </c:pt>
                <c:pt idx="4">
                  <c:v>0.26</c:v>
                </c:pt>
                <c:pt idx="5">
                  <c:v>0.32999999999999985</c:v>
                </c:pt>
                <c:pt idx="6">
                  <c:v>0.39000000000000012</c:v>
                </c:pt>
                <c:pt idx="7">
                  <c:v>0.63</c:v>
                </c:pt>
                <c:pt idx="8">
                  <c:v>0.52999999999999992</c:v>
                </c:pt>
                <c:pt idx="9">
                  <c:v>0.39999999999999991</c:v>
                </c:pt>
              </c:numCache>
            </c:numRef>
          </c:val>
          <c:extLst>
            <c:ext xmlns:c16="http://schemas.microsoft.com/office/drawing/2014/chart" uri="{C3380CC4-5D6E-409C-BE32-E72D297353CC}">
              <c16:uniqueId val="{00000003-86AB-4D2C-9E3E-20D715A898DB}"/>
            </c:ext>
          </c:extLst>
        </c:ser>
        <c:ser>
          <c:idx val="4"/>
          <c:order val="4"/>
          <c:tx>
            <c:strRef>
              <c:f>'Dashboard Condensed'!$A$140</c:f>
              <c:strCache>
                <c:ptCount val="1"/>
                <c:pt idx="0">
                  <c:v>Exelon</c:v>
                </c:pt>
              </c:strCache>
            </c:strRef>
          </c:tx>
          <c:spPr>
            <a:solidFill>
              <a:schemeClr val="accent5"/>
            </a:solidFill>
            <a:ln>
              <a:noFill/>
            </a:ln>
            <a:effectLst/>
          </c:spPr>
          <c:invertIfNegative val="0"/>
          <c:cat>
            <c:numRef>
              <c:f>'Dashboard Condensed'!$B$134:$K$134</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Condensed'!$B$140:$K$140</c:f>
              <c:numCache>
                <c:formatCode>#,##0.00_);[Red]\(#,##0.00\)</c:formatCode>
                <c:ptCount val="10"/>
                <c:pt idx="0">
                  <c:v>0</c:v>
                </c:pt>
                <c:pt idx="1">
                  <c:v>-9.999999999999995E-3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6AB-4D2C-9E3E-20D715A898DB}"/>
            </c:ext>
          </c:extLst>
        </c:ser>
        <c:ser>
          <c:idx val="5"/>
          <c:order val="5"/>
          <c:tx>
            <c:strRef>
              <c:f>'Dashboard Condensed'!$A$141</c:f>
              <c:strCache>
                <c:ptCount val="1"/>
                <c:pt idx="0">
                  <c:v>TransAlta</c:v>
                </c:pt>
              </c:strCache>
            </c:strRef>
          </c:tx>
          <c:spPr>
            <a:solidFill>
              <a:schemeClr val="accent6"/>
            </a:solidFill>
            <a:ln>
              <a:noFill/>
            </a:ln>
            <a:effectLst/>
          </c:spPr>
          <c:invertIfNegative val="0"/>
          <c:cat>
            <c:numRef>
              <c:f>'Dashboard Condensed'!$B$134:$K$134</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Condensed'!$B$141:$K$141</c:f>
              <c:numCache>
                <c:formatCode>#,##0.00_);[Red]\(#,##0.00\)</c:formatCode>
                <c:ptCount val="10"/>
                <c:pt idx="0">
                  <c:v>0</c:v>
                </c:pt>
                <c:pt idx="1">
                  <c:v>-1.0000000000000009E-2</c:v>
                </c:pt>
                <c:pt idx="2">
                  <c:v>1.9999999999999962E-2</c:v>
                </c:pt>
                <c:pt idx="3">
                  <c:v>4.0000000000000036E-2</c:v>
                </c:pt>
                <c:pt idx="4">
                  <c:v>0.10999999999999999</c:v>
                </c:pt>
                <c:pt idx="5">
                  <c:v>0.10999999999999999</c:v>
                </c:pt>
                <c:pt idx="6">
                  <c:v>7.9999999999999988E-2</c:v>
                </c:pt>
                <c:pt idx="7">
                  <c:v>7.0000000000000007E-2</c:v>
                </c:pt>
                <c:pt idx="8">
                  <c:v>0.05</c:v>
                </c:pt>
                <c:pt idx="9">
                  <c:v>0.05</c:v>
                </c:pt>
              </c:numCache>
            </c:numRef>
          </c:val>
          <c:extLst>
            <c:ext xmlns:c16="http://schemas.microsoft.com/office/drawing/2014/chart" uri="{C3380CC4-5D6E-409C-BE32-E72D297353CC}">
              <c16:uniqueId val="{00000005-86AB-4D2C-9E3E-20D715A898DB}"/>
            </c:ext>
          </c:extLst>
        </c:ser>
        <c:ser>
          <c:idx val="6"/>
          <c:order val="6"/>
          <c:tx>
            <c:strRef>
              <c:f>'Dashboard Condensed'!$A$142</c:f>
              <c:strCache>
                <c:ptCount val="1"/>
                <c:pt idx="0">
                  <c:v>Shell</c:v>
                </c:pt>
              </c:strCache>
            </c:strRef>
          </c:tx>
          <c:spPr>
            <a:solidFill>
              <a:schemeClr val="accent1">
                <a:lumMod val="60000"/>
              </a:schemeClr>
            </a:solidFill>
            <a:ln>
              <a:noFill/>
            </a:ln>
            <a:effectLst/>
          </c:spPr>
          <c:invertIfNegative val="0"/>
          <c:cat>
            <c:numRef>
              <c:f>'Dashboard Condensed'!$B$134:$K$134</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Condensed'!$B$142:$K$142</c:f>
              <c:numCache>
                <c:formatCode>#,##0.00_);[Red]\(#,##0.00\)</c:formatCode>
                <c:ptCount val="10"/>
                <c:pt idx="0">
                  <c:v>-0.12000000000000011</c:v>
                </c:pt>
                <c:pt idx="1">
                  <c:v>-0.11000000000000004</c:v>
                </c:pt>
                <c:pt idx="2">
                  <c:v>-4.9999999999999822E-2</c:v>
                </c:pt>
                <c:pt idx="3">
                  <c:v>3.0000000000000027E-2</c:v>
                </c:pt>
                <c:pt idx="4">
                  <c:v>0.32999999999999974</c:v>
                </c:pt>
                <c:pt idx="5">
                  <c:v>0.56000000000000005</c:v>
                </c:pt>
                <c:pt idx="6">
                  <c:v>0.71</c:v>
                </c:pt>
                <c:pt idx="7">
                  <c:v>1.1799999999999997</c:v>
                </c:pt>
                <c:pt idx="8">
                  <c:v>1.3299999999999998</c:v>
                </c:pt>
                <c:pt idx="9">
                  <c:v>1.27</c:v>
                </c:pt>
              </c:numCache>
            </c:numRef>
          </c:val>
          <c:extLst>
            <c:ext xmlns:c16="http://schemas.microsoft.com/office/drawing/2014/chart" uri="{C3380CC4-5D6E-409C-BE32-E72D297353CC}">
              <c16:uniqueId val="{00000006-86AB-4D2C-9E3E-20D715A898DB}"/>
            </c:ext>
          </c:extLst>
        </c:ser>
        <c:ser>
          <c:idx val="7"/>
          <c:order val="7"/>
          <c:tx>
            <c:strRef>
              <c:f>'Dashboard Condensed'!$A$144</c:f>
              <c:strCache>
                <c:ptCount val="1"/>
                <c:pt idx="0">
                  <c:v>Rail Splitter</c:v>
                </c:pt>
              </c:strCache>
            </c:strRef>
          </c:tx>
          <c:spPr>
            <a:solidFill>
              <a:schemeClr val="accent2">
                <a:lumMod val="60000"/>
              </a:schemeClr>
            </a:solidFill>
            <a:ln>
              <a:noFill/>
            </a:ln>
            <a:effectLst/>
          </c:spPr>
          <c:invertIfNegative val="0"/>
          <c:cat>
            <c:numRef>
              <c:f>'Dashboard Condensed'!$B$134:$K$134</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Condensed'!$B$144:$K$144</c:f>
              <c:numCache>
                <c:formatCode>#,##0.00_);[Red]\(#,##0.00\)</c:formatCode>
                <c:ptCount val="10"/>
                <c:pt idx="0">
                  <c:v>-1.9499999999999997</c:v>
                </c:pt>
                <c:pt idx="1">
                  <c:v>-1.9000000000000004</c:v>
                </c:pt>
                <c:pt idx="2">
                  <c:v>-1.7699999999999996</c:v>
                </c:pt>
                <c:pt idx="3">
                  <c:v>-1.6799999999999997</c:v>
                </c:pt>
                <c:pt idx="4">
                  <c:v>-1.3199999999999998</c:v>
                </c:pt>
                <c:pt idx="5">
                  <c:v>-1.04</c:v>
                </c:pt>
                <c:pt idx="6">
                  <c:v>-1.0099999999999998</c:v>
                </c:pt>
                <c:pt idx="7">
                  <c:v>-0.12999999999999989</c:v>
                </c:pt>
                <c:pt idx="8">
                  <c:v>0.29999999999999982</c:v>
                </c:pt>
                <c:pt idx="9">
                  <c:v>0.26000000000000068</c:v>
                </c:pt>
              </c:numCache>
            </c:numRef>
          </c:val>
          <c:extLst>
            <c:ext xmlns:c16="http://schemas.microsoft.com/office/drawing/2014/chart" uri="{C3380CC4-5D6E-409C-BE32-E72D297353CC}">
              <c16:uniqueId val="{00000007-86AB-4D2C-9E3E-20D715A898DB}"/>
            </c:ext>
          </c:extLst>
        </c:ser>
        <c:ser>
          <c:idx val="8"/>
          <c:order val="8"/>
          <c:tx>
            <c:strRef>
              <c:f>'Dashboard Condensed'!$A$145</c:f>
              <c:strCache>
                <c:ptCount val="1"/>
                <c:pt idx="0">
                  <c:v>Phoenix Solar SF</c:v>
                </c:pt>
              </c:strCache>
            </c:strRef>
          </c:tx>
          <c:spPr>
            <a:solidFill>
              <a:schemeClr val="accent3">
                <a:lumMod val="60000"/>
              </a:schemeClr>
            </a:solidFill>
            <a:ln>
              <a:noFill/>
            </a:ln>
            <a:effectLst/>
          </c:spPr>
          <c:invertIfNegative val="0"/>
          <c:cat>
            <c:numRef>
              <c:f>'Dashboard Condensed'!$B$134:$K$134</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Condensed'!$B$145:$K$145</c:f>
              <c:numCache>
                <c:formatCode>#,##0.00_);[Red]\(#,##0.00\)</c:formatCode>
                <c:ptCount val="10"/>
                <c:pt idx="0">
                  <c:v>-8.9722220000000004</c:v>
                </c:pt>
                <c:pt idx="1">
                  <c:v>-8.875</c:v>
                </c:pt>
                <c:pt idx="2">
                  <c:v>-8.7777779999999996</c:v>
                </c:pt>
                <c:pt idx="3">
                  <c:v>-8.6805559999999993</c:v>
                </c:pt>
                <c:pt idx="4">
                  <c:v>-8.5833329999999997</c:v>
                </c:pt>
                <c:pt idx="5">
                  <c:v>-8.4861109999999993</c:v>
                </c:pt>
                <c:pt idx="6">
                  <c:v>-8.3888890000000007</c:v>
                </c:pt>
                <c:pt idx="7">
                  <c:v>-8.9166699999999999</c:v>
                </c:pt>
                <c:pt idx="8">
                  <c:v>-8.1944440000000007</c:v>
                </c:pt>
                <c:pt idx="9">
                  <c:v>-8.0972220000000004</c:v>
                </c:pt>
              </c:numCache>
            </c:numRef>
          </c:val>
          <c:extLst>
            <c:ext xmlns:c16="http://schemas.microsoft.com/office/drawing/2014/chart" uri="{C3380CC4-5D6E-409C-BE32-E72D297353CC}">
              <c16:uniqueId val="{00000000-C838-480B-8CC9-2AD354C56552}"/>
            </c:ext>
          </c:extLst>
        </c:ser>
        <c:dLbls>
          <c:showLegendKey val="0"/>
          <c:showVal val="0"/>
          <c:showCatName val="0"/>
          <c:showSerName val="0"/>
          <c:showPercent val="0"/>
          <c:showBubbleSize val="0"/>
        </c:dLbls>
        <c:gapWidth val="150"/>
        <c:overlap val="100"/>
        <c:axId val="525213856"/>
        <c:axId val="525217464"/>
      </c:barChart>
      <c:dateAx>
        <c:axId val="525213856"/>
        <c:scaling>
          <c:orientation val="minMax"/>
        </c:scaling>
        <c:delete val="0"/>
        <c:axPos val="b"/>
        <c:numFmt formatCode="mmmyy" sourceLinked="1"/>
        <c:majorTickMark val="out"/>
        <c:minorTickMark val="none"/>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525217464"/>
        <c:crosses val="autoZero"/>
        <c:auto val="1"/>
        <c:lblOffset val="100"/>
        <c:baseTimeUnit val="months"/>
      </c:dateAx>
      <c:valAx>
        <c:axId val="525217464"/>
        <c:scaling>
          <c:orientation val="minMax"/>
        </c:scaling>
        <c:delete val="0"/>
        <c:axPos val="l"/>
        <c:majorGridlines>
          <c:spPr>
            <a:ln w="9525" cap="flat" cmpd="sng" algn="ctr">
              <a:solidFill>
                <a:schemeClr val="tx1">
                  <a:lumMod val="15000"/>
                  <a:lumOff val="85000"/>
                </a:schemeClr>
              </a:solidFill>
              <a:round/>
            </a:ln>
            <a:effectLst/>
          </c:spPr>
        </c:majorGridlines>
        <c:numFmt formatCode="#,##0.00_);[Red]\(#,##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2138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'Dashboard Condensed'!$A$154</c:f>
              <c:strCache>
                <c:ptCount val="1"/>
                <c:pt idx="0">
                  <c:v>JPM</c:v>
                </c:pt>
              </c:strCache>
            </c:strRef>
          </c:tx>
          <c:spPr>
            <a:solidFill>
              <a:schemeClr val="accent5">
                <a:lumMod val="20000"/>
                <a:lumOff val="80000"/>
              </a:schemeClr>
            </a:solidFill>
            <a:ln>
              <a:noFill/>
            </a:ln>
            <a:effectLst/>
          </c:spPr>
          <c:invertIfNegative val="0"/>
          <c:cat>
            <c:numRef>
              <c:f>'Dashboard Condensed'!$B$153:$K$153</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Condensed'!$B$154:$K$154</c:f>
              <c:numCache>
                <c:formatCode>#,##0.00_);[Red]\(#,##0.00\)</c:formatCode>
                <c:ptCount val="10"/>
                <c:pt idx="0">
                  <c:v>-0.13442299999999999</c:v>
                </c:pt>
                <c:pt idx="1">
                  <c:v>-0.122652</c:v>
                </c:pt>
                <c:pt idx="2">
                  <c:v>-0.10921</c:v>
                </c:pt>
                <c:pt idx="3">
                  <c:v>-9.8958000000000004E-2</c:v>
                </c:pt>
                <c:pt idx="4">
                  <c:v>-8.8234999999999994E-2</c:v>
                </c:pt>
                <c:pt idx="5">
                  <c:v>-7.3999999999999996E-2</c:v>
                </c:pt>
                <c:pt idx="6">
                  <c:v>-6.4046000000000006E-2</c:v>
                </c:pt>
                <c:pt idx="7">
                  <c:v>-5.3530000000000001E-2</c:v>
                </c:pt>
                <c:pt idx="8">
                  <c:v>-3.9732000000000003E-2</c:v>
                </c:pt>
                <c:pt idx="9">
                  <c:v>-2.9006000000000001E-2</c:v>
                </c:pt>
              </c:numCache>
            </c:numRef>
          </c:val>
          <c:extLst>
            <c:ext xmlns:c16="http://schemas.microsoft.com/office/drawing/2014/chart" uri="{C3380CC4-5D6E-409C-BE32-E72D297353CC}">
              <c16:uniqueId val="{00000000-5BF7-4241-B652-375972C83CB4}"/>
            </c:ext>
          </c:extLst>
        </c:ser>
        <c:ser>
          <c:idx val="1"/>
          <c:order val="1"/>
          <c:tx>
            <c:strRef>
              <c:f>'Dashboard Condensed'!$A$155</c:f>
              <c:strCache>
                <c:ptCount val="1"/>
                <c:pt idx="0">
                  <c:v>LOOP</c:v>
                </c:pt>
              </c:strCache>
            </c:strRef>
          </c:tx>
          <c:spPr>
            <a:solidFill>
              <a:schemeClr val="accent2"/>
            </a:solidFill>
            <a:ln>
              <a:noFill/>
            </a:ln>
            <a:effectLst/>
          </c:spPr>
          <c:invertIfNegative val="0"/>
          <c:cat>
            <c:numRef>
              <c:f>'Dashboard Condensed'!$B$153:$K$153</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Condensed'!$B$155:$K$155</c:f>
              <c:numCache>
                <c:formatCode>#,##0.00_);[Red]\(#,##0.00\)</c:formatCode>
                <c:ptCount val="10"/>
                <c:pt idx="0">
                  <c:v>-1.879513</c:v>
                </c:pt>
                <c:pt idx="1">
                  <c:v>-1.797911</c:v>
                </c:pt>
                <c:pt idx="2">
                  <c:v>-1.776357</c:v>
                </c:pt>
                <c:pt idx="3">
                  <c:v>-1.7422139999999999</c:v>
                </c:pt>
                <c:pt idx="4">
                  <c:v>-1.6860710000000001</c:v>
                </c:pt>
                <c:pt idx="5">
                  <c:v>-1.6759999999999999</c:v>
                </c:pt>
                <c:pt idx="6">
                  <c:v>-1.6037809999999999</c:v>
                </c:pt>
                <c:pt idx="7">
                  <c:v>-1.49777</c:v>
                </c:pt>
                <c:pt idx="8">
                  <c:v>-1.39436</c:v>
                </c:pt>
                <c:pt idx="9">
                  <c:v>-1.339</c:v>
                </c:pt>
              </c:numCache>
            </c:numRef>
          </c:val>
          <c:extLst>
            <c:ext xmlns:c16="http://schemas.microsoft.com/office/drawing/2014/chart" uri="{C3380CC4-5D6E-409C-BE32-E72D297353CC}">
              <c16:uniqueId val="{00000001-5BF7-4241-B652-375972C83CB4}"/>
            </c:ext>
          </c:extLst>
        </c:ser>
        <c:ser>
          <c:idx val="2"/>
          <c:order val="2"/>
          <c:tx>
            <c:strRef>
              <c:f>'Dashboard Condensed'!$A$156</c:f>
              <c:strCache>
                <c:ptCount val="1"/>
                <c:pt idx="0">
                  <c:v>Morgan Stanley</c:v>
                </c:pt>
              </c:strCache>
            </c:strRef>
          </c:tx>
          <c:spPr>
            <a:solidFill>
              <a:schemeClr val="accent3"/>
            </a:solidFill>
            <a:ln>
              <a:noFill/>
            </a:ln>
            <a:effectLst/>
          </c:spPr>
          <c:invertIfNegative val="0"/>
          <c:cat>
            <c:numRef>
              <c:f>'Dashboard Condensed'!$B$153:$K$153</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Condensed'!$B$156:$K$156</c:f>
              <c:numCache>
                <c:formatCode>#,##0.00_);[Red]\(#,##0.00\)</c:formatCode>
                <c:ptCount val="10"/>
                <c:pt idx="0">
                  <c:v>-0.23881199999999986</c:v>
                </c:pt>
                <c:pt idx="1">
                  <c:v>-1.6655999999999227E-2</c:v>
                </c:pt>
                <c:pt idx="2">
                  <c:v>0.16722499999999979</c:v>
                </c:pt>
                <c:pt idx="3">
                  <c:v>0.3578110000000001</c:v>
                </c:pt>
                <c:pt idx="4">
                  <c:v>1.058883999999999</c:v>
                </c:pt>
                <c:pt idx="5">
                  <c:v>1.4628519999999998</c:v>
                </c:pt>
                <c:pt idx="6">
                  <c:v>2.1438629999999992</c:v>
                </c:pt>
                <c:pt idx="7">
                  <c:v>3.8747199999999977</c:v>
                </c:pt>
                <c:pt idx="8">
                  <c:v>4.3989709999999995</c:v>
                </c:pt>
                <c:pt idx="9">
                  <c:v>4.4500470000000005</c:v>
                </c:pt>
              </c:numCache>
            </c:numRef>
          </c:val>
          <c:extLst>
            <c:ext xmlns:c16="http://schemas.microsoft.com/office/drawing/2014/chart" uri="{C3380CC4-5D6E-409C-BE32-E72D297353CC}">
              <c16:uniqueId val="{00000002-5BF7-4241-B652-375972C83CB4}"/>
            </c:ext>
          </c:extLst>
        </c:ser>
        <c:ser>
          <c:idx val="3"/>
          <c:order val="3"/>
          <c:tx>
            <c:strRef>
              <c:f>'Dashboard Condensed'!$A$157</c:f>
              <c:strCache>
                <c:ptCount val="1"/>
                <c:pt idx="0">
                  <c:v>StoneX</c:v>
                </c:pt>
              </c:strCache>
            </c:strRef>
          </c:tx>
          <c:spPr>
            <a:solidFill>
              <a:schemeClr val="accent4"/>
            </a:solidFill>
            <a:ln>
              <a:noFill/>
            </a:ln>
            <a:effectLst/>
          </c:spPr>
          <c:invertIfNegative val="0"/>
          <c:cat>
            <c:numRef>
              <c:f>'Dashboard Condensed'!$B$153:$K$153</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Condensed'!$B$157:$K$157</c:f>
              <c:numCache>
                <c:formatCode>#,##0.00_);[Red]\(#,##0.00\)</c:formatCode>
                <c:ptCount val="10"/>
                <c:pt idx="0">
                  <c:v>-0.28000000000000114</c:v>
                </c:pt>
                <c:pt idx="1">
                  <c:v>-0.25</c:v>
                </c:pt>
                <c:pt idx="2">
                  <c:v>4.0000000000000924E-2</c:v>
                </c:pt>
                <c:pt idx="3">
                  <c:v>9.9999999999999645E-2</c:v>
                </c:pt>
                <c:pt idx="4">
                  <c:v>1.2100000000000009</c:v>
                </c:pt>
                <c:pt idx="5">
                  <c:v>1.7100000000000009</c:v>
                </c:pt>
                <c:pt idx="6">
                  <c:v>2.5299999999999976</c:v>
                </c:pt>
                <c:pt idx="7">
                  <c:v>4.3499999999999979</c:v>
                </c:pt>
                <c:pt idx="8">
                  <c:v>4.3999999999999986</c:v>
                </c:pt>
                <c:pt idx="9">
                  <c:v>4.0300000000000011</c:v>
                </c:pt>
              </c:numCache>
            </c:numRef>
          </c:val>
          <c:extLst>
            <c:ext xmlns:c16="http://schemas.microsoft.com/office/drawing/2014/chart" uri="{C3380CC4-5D6E-409C-BE32-E72D297353CC}">
              <c16:uniqueId val="{00000003-5BF7-4241-B652-375972C83CB4}"/>
            </c:ext>
          </c:extLst>
        </c:ser>
        <c:ser>
          <c:idx val="4"/>
          <c:order val="4"/>
          <c:tx>
            <c:strRef>
              <c:f>'Dashboard Condensed'!$A$158</c:f>
              <c:strCache>
                <c:ptCount val="1"/>
                <c:pt idx="0">
                  <c:v>EDF Energy Svcs</c:v>
                </c:pt>
              </c:strCache>
            </c:strRef>
          </c:tx>
          <c:spPr>
            <a:solidFill>
              <a:schemeClr val="accent5"/>
            </a:solidFill>
            <a:ln>
              <a:noFill/>
            </a:ln>
            <a:effectLst/>
          </c:spPr>
          <c:invertIfNegative val="0"/>
          <c:cat>
            <c:numRef>
              <c:f>'Dashboard Condensed'!$B$153:$K$153</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Condensed'!$B$158:$K$158</c:f>
              <c:numCache>
                <c:formatCode>#,##0.00_);[Red]\(#,##0.00\)</c:formatCode>
                <c:ptCount val="10"/>
                <c:pt idx="0">
                  <c:v>0.58999999999999986</c:v>
                </c:pt>
                <c:pt idx="1">
                  <c:v>0.29000000000000004</c:v>
                </c:pt>
                <c:pt idx="2">
                  <c:v>0.67999999999999972</c:v>
                </c:pt>
                <c:pt idx="3">
                  <c:v>0.75</c:v>
                </c:pt>
                <c:pt idx="4">
                  <c:v>1.6600000000000001</c:v>
                </c:pt>
                <c:pt idx="5">
                  <c:v>2.0599999999999996</c:v>
                </c:pt>
                <c:pt idx="6">
                  <c:v>2.4299999999999997</c:v>
                </c:pt>
                <c:pt idx="7">
                  <c:v>3.9099999999999997</c:v>
                </c:pt>
                <c:pt idx="8">
                  <c:v>3.1799999999999997</c:v>
                </c:pt>
                <c:pt idx="9">
                  <c:v>2.08</c:v>
                </c:pt>
              </c:numCache>
            </c:numRef>
          </c:val>
          <c:extLst>
            <c:ext xmlns:c16="http://schemas.microsoft.com/office/drawing/2014/chart" uri="{C3380CC4-5D6E-409C-BE32-E72D297353CC}">
              <c16:uniqueId val="{00000004-5BF7-4241-B652-375972C83CB4}"/>
            </c:ext>
          </c:extLst>
        </c:ser>
        <c:ser>
          <c:idx val="5"/>
          <c:order val="5"/>
          <c:tx>
            <c:strRef>
              <c:f>'Dashboard Condensed'!$A$159</c:f>
              <c:strCache>
                <c:ptCount val="1"/>
                <c:pt idx="0">
                  <c:v>BP</c:v>
                </c:pt>
              </c:strCache>
            </c:strRef>
          </c:tx>
          <c:spPr>
            <a:solidFill>
              <a:schemeClr val="accent6"/>
            </a:solidFill>
            <a:ln>
              <a:noFill/>
            </a:ln>
            <a:effectLst/>
          </c:spPr>
          <c:invertIfNegative val="0"/>
          <c:cat>
            <c:numRef>
              <c:f>'Dashboard Condensed'!$B$153:$K$153</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Condensed'!$B$159:$K$159</c:f>
              <c:numCache>
                <c:formatCode>#,##0.00_);[Red]\(#,##0.00\)</c:formatCode>
                <c:ptCount val="10"/>
                <c:pt idx="0">
                  <c:v>1.0999999999999996</c:v>
                </c:pt>
                <c:pt idx="1">
                  <c:v>1.0900000000000016</c:v>
                </c:pt>
                <c:pt idx="2">
                  <c:v>1.3800000000000008</c:v>
                </c:pt>
                <c:pt idx="3">
                  <c:v>1.7400000000000002</c:v>
                </c:pt>
                <c:pt idx="4">
                  <c:v>3.1499999999999986</c:v>
                </c:pt>
                <c:pt idx="5">
                  <c:v>4.1500000000000021</c:v>
                </c:pt>
                <c:pt idx="6">
                  <c:v>5.0499999999999989</c:v>
                </c:pt>
                <c:pt idx="7">
                  <c:v>8.24</c:v>
                </c:pt>
                <c:pt idx="8">
                  <c:v>8</c:v>
                </c:pt>
                <c:pt idx="9">
                  <c:v>6.6799999999999979</c:v>
                </c:pt>
              </c:numCache>
            </c:numRef>
          </c:val>
          <c:extLst>
            <c:ext xmlns:c16="http://schemas.microsoft.com/office/drawing/2014/chart" uri="{C3380CC4-5D6E-409C-BE32-E72D297353CC}">
              <c16:uniqueId val="{00000005-5BF7-4241-B652-375972C83CB4}"/>
            </c:ext>
          </c:extLst>
        </c:ser>
        <c:ser>
          <c:idx val="6"/>
          <c:order val="6"/>
          <c:tx>
            <c:strRef>
              <c:f>'Dashboard Condensed'!$A$160</c:f>
              <c:strCache>
                <c:ptCount val="1"/>
                <c:pt idx="0">
                  <c:v>Direct Energy</c:v>
                </c:pt>
              </c:strCache>
            </c:strRef>
          </c:tx>
          <c:spPr>
            <a:solidFill>
              <a:schemeClr val="accent1">
                <a:lumMod val="60000"/>
              </a:schemeClr>
            </a:solidFill>
            <a:ln>
              <a:noFill/>
            </a:ln>
            <a:effectLst/>
          </c:spPr>
          <c:invertIfNegative val="0"/>
          <c:cat>
            <c:numRef>
              <c:f>'Dashboard Condensed'!$B$153:$K$153</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Condensed'!$B$160:$K$160</c:f>
              <c:numCache>
                <c:formatCode>#,##0.00_);[Red]\(#,##0.00\)</c:formatCode>
                <c:ptCount val="10"/>
                <c:pt idx="0">
                  <c:v>6.999999999999984E-2</c:v>
                </c:pt>
                <c:pt idx="1">
                  <c:v>3.0000000000000027E-2</c:v>
                </c:pt>
                <c:pt idx="2">
                  <c:v>9.000000000000008E-2</c:v>
                </c:pt>
                <c:pt idx="3">
                  <c:v>0.1100000000000001</c:v>
                </c:pt>
                <c:pt idx="4">
                  <c:v>0.26</c:v>
                </c:pt>
                <c:pt idx="5">
                  <c:v>0.32999999999999985</c:v>
                </c:pt>
                <c:pt idx="6">
                  <c:v>0.39000000000000012</c:v>
                </c:pt>
                <c:pt idx="7">
                  <c:v>0.63</c:v>
                </c:pt>
                <c:pt idx="8">
                  <c:v>0.52999999999999992</c:v>
                </c:pt>
                <c:pt idx="9">
                  <c:v>0.39999999999999991</c:v>
                </c:pt>
              </c:numCache>
            </c:numRef>
          </c:val>
          <c:extLst>
            <c:ext xmlns:c16="http://schemas.microsoft.com/office/drawing/2014/chart" uri="{C3380CC4-5D6E-409C-BE32-E72D297353CC}">
              <c16:uniqueId val="{00000006-5BF7-4241-B652-375972C83CB4}"/>
            </c:ext>
          </c:extLst>
        </c:ser>
        <c:ser>
          <c:idx val="7"/>
          <c:order val="7"/>
          <c:tx>
            <c:strRef>
              <c:f>'Dashboard Condensed'!$A$161</c:f>
              <c:strCache>
                <c:ptCount val="1"/>
                <c:pt idx="0">
                  <c:v>AEP</c:v>
                </c:pt>
              </c:strCache>
            </c:strRef>
          </c:tx>
          <c:spPr>
            <a:solidFill>
              <a:schemeClr val="accent2">
                <a:lumMod val="60000"/>
              </a:schemeClr>
            </a:solidFill>
            <a:ln>
              <a:noFill/>
            </a:ln>
            <a:effectLst/>
          </c:spPr>
          <c:invertIfNegative val="0"/>
          <c:cat>
            <c:numRef>
              <c:f>'Dashboard Condensed'!$B$153:$K$153</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Condensed'!$B$161:$K$161</c:f>
              <c:numCache>
                <c:formatCode>#,##0.00_);[Red]\(#,##0.00\)</c:formatCode>
                <c:ptCount val="10"/>
                <c:pt idx="0">
                  <c:v>0.01</c:v>
                </c:pt>
                <c:pt idx="1">
                  <c:v>0</c:v>
                </c:pt>
                <c:pt idx="2">
                  <c:v>1.0000000000000009E-2</c:v>
                </c:pt>
                <c:pt idx="3">
                  <c:v>3.0000000000000027E-2</c:v>
                </c:pt>
                <c:pt idx="4">
                  <c:v>4.9999999999999989E-2</c:v>
                </c:pt>
                <c:pt idx="5">
                  <c:v>8.0000000000000016E-2</c:v>
                </c:pt>
                <c:pt idx="6">
                  <c:v>8.0000000000000016E-2</c:v>
                </c:pt>
                <c:pt idx="7">
                  <c:v>0.10999999999999999</c:v>
                </c:pt>
                <c:pt idx="8">
                  <c:v>0.14000000000000001</c:v>
                </c:pt>
                <c:pt idx="9">
                  <c:v>0.13</c:v>
                </c:pt>
              </c:numCache>
            </c:numRef>
          </c:val>
          <c:extLst>
            <c:ext xmlns:c16="http://schemas.microsoft.com/office/drawing/2014/chart" uri="{C3380CC4-5D6E-409C-BE32-E72D297353CC}">
              <c16:uniqueId val="{00000007-5BF7-4241-B652-375972C83CB4}"/>
            </c:ext>
          </c:extLst>
        </c:ser>
        <c:ser>
          <c:idx val="8"/>
          <c:order val="8"/>
          <c:tx>
            <c:strRef>
              <c:f>'Dashboard Condensed'!$A$162</c:f>
              <c:strCache>
                <c:ptCount val="1"/>
                <c:pt idx="0">
                  <c:v>Exelon</c:v>
                </c:pt>
              </c:strCache>
            </c:strRef>
          </c:tx>
          <c:spPr>
            <a:solidFill>
              <a:schemeClr val="accent3">
                <a:lumMod val="60000"/>
              </a:schemeClr>
            </a:solidFill>
            <a:ln>
              <a:noFill/>
            </a:ln>
            <a:effectLst/>
          </c:spPr>
          <c:invertIfNegative val="0"/>
          <c:cat>
            <c:numRef>
              <c:f>'Dashboard Condensed'!$B$153:$K$153</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Condensed'!$B$162:$K$162</c:f>
              <c:numCache>
                <c:formatCode>#,##0.00_);[Red]\(#,##0.00\)</c:formatCode>
                <c:ptCount val="10"/>
                <c:pt idx="0">
                  <c:v>0</c:v>
                </c:pt>
                <c:pt idx="1">
                  <c:v>-9.999999999999995E-3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8-5BF7-4241-B652-375972C83CB4}"/>
            </c:ext>
          </c:extLst>
        </c:ser>
        <c:ser>
          <c:idx val="9"/>
          <c:order val="9"/>
          <c:tx>
            <c:strRef>
              <c:f>'Dashboard Condensed'!$A$163</c:f>
              <c:strCache>
                <c:ptCount val="1"/>
                <c:pt idx="0">
                  <c:v>TransAlta</c:v>
                </c:pt>
              </c:strCache>
            </c:strRef>
          </c:tx>
          <c:spPr>
            <a:solidFill>
              <a:schemeClr val="accent4">
                <a:lumMod val="60000"/>
              </a:schemeClr>
            </a:solidFill>
            <a:ln>
              <a:noFill/>
            </a:ln>
            <a:effectLst/>
          </c:spPr>
          <c:invertIfNegative val="0"/>
          <c:cat>
            <c:numRef>
              <c:f>'Dashboard Condensed'!$B$153:$K$153</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Condensed'!$B$163:$K$163</c:f>
              <c:numCache>
                <c:formatCode>#,##0.00_);[Red]\(#,##0.00\)</c:formatCode>
                <c:ptCount val="10"/>
                <c:pt idx="0">
                  <c:v>0</c:v>
                </c:pt>
                <c:pt idx="1">
                  <c:v>-1.0000000000000009E-2</c:v>
                </c:pt>
                <c:pt idx="2">
                  <c:v>1.9999999999999962E-2</c:v>
                </c:pt>
                <c:pt idx="3">
                  <c:v>4.0000000000000036E-2</c:v>
                </c:pt>
                <c:pt idx="4">
                  <c:v>0.10999999999999999</c:v>
                </c:pt>
                <c:pt idx="5">
                  <c:v>0.10999999999999999</c:v>
                </c:pt>
                <c:pt idx="6">
                  <c:v>7.9999999999999988E-2</c:v>
                </c:pt>
                <c:pt idx="7">
                  <c:v>7.0000000000000007E-2</c:v>
                </c:pt>
                <c:pt idx="8">
                  <c:v>0.05</c:v>
                </c:pt>
                <c:pt idx="9">
                  <c:v>0.05</c:v>
                </c:pt>
              </c:numCache>
            </c:numRef>
          </c:val>
          <c:extLst>
            <c:ext xmlns:c16="http://schemas.microsoft.com/office/drawing/2014/chart" uri="{C3380CC4-5D6E-409C-BE32-E72D297353CC}">
              <c16:uniqueId val="{00000009-5BF7-4241-B652-375972C83CB4}"/>
            </c:ext>
          </c:extLst>
        </c:ser>
        <c:ser>
          <c:idx val="10"/>
          <c:order val="10"/>
          <c:tx>
            <c:strRef>
              <c:f>'Dashboard Condensed'!$A$164</c:f>
              <c:strCache>
                <c:ptCount val="1"/>
                <c:pt idx="0">
                  <c:v>Shell</c:v>
                </c:pt>
              </c:strCache>
            </c:strRef>
          </c:tx>
          <c:spPr>
            <a:solidFill>
              <a:schemeClr val="accent5">
                <a:lumMod val="60000"/>
              </a:schemeClr>
            </a:solidFill>
            <a:ln>
              <a:noFill/>
            </a:ln>
            <a:effectLst/>
          </c:spPr>
          <c:invertIfNegative val="0"/>
          <c:cat>
            <c:numRef>
              <c:f>'Dashboard Condensed'!$B$153:$K$153</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Condensed'!$B$164:$K$164</c:f>
              <c:numCache>
                <c:formatCode>#,##0.00_);[Red]\(#,##0.00\)</c:formatCode>
                <c:ptCount val="10"/>
                <c:pt idx="0">
                  <c:v>-0.12000000000000011</c:v>
                </c:pt>
                <c:pt idx="1">
                  <c:v>-0.11000000000000004</c:v>
                </c:pt>
                <c:pt idx="2">
                  <c:v>-4.9999999999999822E-2</c:v>
                </c:pt>
                <c:pt idx="3">
                  <c:v>3.0000000000000027E-2</c:v>
                </c:pt>
                <c:pt idx="4">
                  <c:v>0.32999999999999974</c:v>
                </c:pt>
                <c:pt idx="5">
                  <c:v>0.56000000000000005</c:v>
                </c:pt>
                <c:pt idx="6">
                  <c:v>0.71</c:v>
                </c:pt>
                <c:pt idx="7">
                  <c:v>1.1799999999999997</c:v>
                </c:pt>
                <c:pt idx="8">
                  <c:v>1.3299999999999998</c:v>
                </c:pt>
                <c:pt idx="9">
                  <c:v>1.27</c:v>
                </c:pt>
              </c:numCache>
            </c:numRef>
          </c:val>
          <c:extLst>
            <c:ext xmlns:c16="http://schemas.microsoft.com/office/drawing/2014/chart" uri="{C3380CC4-5D6E-409C-BE32-E72D297353CC}">
              <c16:uniqueId val="{0000000A-5BF7-4241-B652-375972C83CB4}"/>
            </c:ext>
          </c:extLst>
        </c:ser>
        <c:ser>
          <c:idx val="11"/>
          <c:order val="11"/>
          <c:tx>
            <c:strRef>
              <c:f>'Dashboard Condensed'!$A$165</c:f>
              <c:strCache>
                <c:ptCount val="1"/>
                <c:pt idx="0">
                  <c:v>Rail Splitter</c:v>
                </c:pt>
              </c:strCache>
            </c:strRef>
          </c:tx>
          <c:spPr>
            <a:solidFill>
              <a:schemeClr val="accent4">
                <a:lumMod val="40000"/>
                <a:lumOff val="60000"/>
              </a:schemeClr>
            </a:solidFill>
            <a:ln>
              <a:noFill/>
            </a:ln>
            <a:effectLst/>
          </c:spPr>
          <c:invertIfNegative val="0"/>
          <c:cat>
            <c:numRef>
              <c:f>'Dashboard Condensed'!$B$153:$K$153</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Condensed'!$B$165:$K$165</c:f>
              <c:numCache>
                <c:formatCode>#,##0.00_);[Red]\(#,##0.00\)</c:formatCode>
                <c:ptCount val="10"/>
                <c:pt idx="0">
                  <c:v>-1.9499999999999997</c:v>
                </c:pt>
                <c:pt idx="1">
                  <c:v>-1.9000000000000004</c:v>
                </c:pt>
                <c:pt idx="2">
                  <c:v>-1.7699999999999996</c:v>
                </c:pt>
                <c:pt idx="3">
                  <c:v>-1.6799999999999997</c:v>
                </c:pt>
                <c:pt idx="4">
                  <c:v>-1.3199999999999998</c:v>
                </c:pt>
                <c:pt idx="5">
                  <c:v>-1.04</c:v>
                </c:pt>
                <c:pt idx="6">
                  <c:v>-1.0099999999999998</c:v>
                </c:pt>
                <c:pt idx="7">
                  <c:v>-0.12999999999999989</c:v>
                </c:pt>
                <c:pt idx="8">
                  <c:v>0.29999999999999982</c:v>
                </c:pt>
                <c:pt idx="9">
                  <c:v>0.26000000000000068</c:v>
                </c:pt>
              </c:numCache>
            </c:numRef>
          </c:val>
          <c:extLst>
            <c:ext xmlns:c16="http://schemas.microsoft.com/office/drawing/2014/chart" uri="{C3380CC4-5D6E-409C-BE32-E72D297353CC}">
              <c16:uniqueId val="{00000001-1F83-4740-A4A7-6B6E249D9617}"/>
            </c:ext>
          </c:extLst>
        </c:ser>
        <c:ser>
          <c:idx val="12"/>
          <c:order val="12"/>
          <c:tx>
            <c:strRef>
              <c:f>'Dashboard Condensed'!$A$166</c:f>
              <c:strCache>
                <c:ptCount val="1"/>
                <c:pt idx="0">
                  <c:v>Phoenix Solar SF</c:v>
                </c:pt>
              </c:strCache>
            </c:strRef>
          </c:tx>
          <c:spPr>
            <a:solidFill>
              <a:schemeClr val="tx2">
                <a:lumMod val="20000"/>
                <a:lumOff val="80000"/>
              </a:schemeClr>
            </a:solidFill>
            <a:ln>
              <a:noFill/>
            </a:ln>
            <a:effectLst/>
          </c:spPr>
          <c:invertIfNegative val="0"/>
          <c:cat>
            <c:numRef>
              <c:f>'Dashboard Condensed'!$B$153:$K$153</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Condensed'!$B$166:$K$166</c:f>
              <c:numCache>
                <c:formatCode>#,##0.00_);[Red]\(#,##0.00\)</c:formatCode>
                <c:ptCount val="10"/>
                <c:pt idx="0">
                  <c:v>-8.9722220000000004</c:v>
                </c:pt>
                <c:pt idx="1">
                  <c:v>-8.875</c:v>
                </c:pt>
                <c:pt idx="2">
                  <c:v>-8.7777779999999996</c:v>
                </c:pt>
                <c:pt idx="3">
                  <c:v>-8.6805559999999993</c:v>
                </c:pt>
                <c:pt idx="4">
                  <c:v>-8.5833329999999997</c:v>
                </c:pt>
                <c:pt idx="5">
                  <c:v>-8.4861109999999993</c:v>
                </c:pt>
                <c:pt idx="6">
                  <c:v>-8.3888890000000007</c:v>
                </c:pt>
                <c:pt idx="7">
                  <c:v>-8.9166699999999999</c:v>
                </c:pt>
                <c:pt idx="8">
                  <c:v>-8.1944440000000007</c:v>
                </c:pt>
                <c:pt idx="9">
                  <c:v>-8.0972220000000004</c:v>
                </c:pt>
              </c:numCache>
            </c:numRef>
          </c:val>
          <c:extLst>
            <c:ext xmlns:c16="http://schemas.microsoft.com/office/drawing/2014/chart" uri="{C3380CC4-5D6E-409C-BE32-E72D297353CC}">
              <c16:uniqueId val="{00000001-2172-41C9-BCF0-C50C3F2B5375}"/>
            </c:ext>
          </c:extLst>
        </c:ser>
        <c:ser>
          <c:idx val="13"/>
          <c:order val="13"/>
          <c:tx>
            <c:strRef>
              <c:f>'Dashboard Condensed'!$A$167</c:f>
              <c:strCache>
                <c:ptCount val="1"/>
                <c:pt idx="0">
                  <c:v>Northern Cardinal Solar</c:v>
                </c:pt>
              </c:strCache>
            </c:strRef>
          </c:tx>
          <c:spPr>
            <a:solidFill>
              <a:schemeClr val="accent2">
                <a:lumMod val="40000"/>
                <a:lumOff val="60000"/>
              </a:schemeClr>
            </a:solidFill>
            <a:ln>
              <a:noFill/>
            </a:ln>
            <a:effectLst/>
          </c:spPr>
          <c:invertIfNegative val="0"/>
          <c:cat>
            <c:numRef>
              <c:f>'Dashboard Condensed'!$B$153:$K$153</c:f>
              <c:numCache>
                <c:formatCode>mmmyy</c:formatCode>
                <c:ptCount val="10"/>
                <c:pt idx="0">
                  <c:v>44248</c:v>
                </c:pt>
                <c:pt idx="1">
                  <c:v>44256</c:v>
                </c:pt>
                <c:pt idx="2">
                  <c:v>44287</c:v>
                </c:pt>
                <c:pt idx="3">
                  <c:v>44337</c:v>
                </c:pt>
                <c:pt idx="4">
                  <c:v>44348</c:v>
                </c:pt>
                <c:pt idx="5">
                  <c:v>44378</c:v>
                </c:pt>
                <c:pt idx="6">
                  <c:v>44429</c:v>
                </c:pt>
                <c:pt idx="7">
                  <c:v>44460</c:v>
                </c:pt>
                <c:pt idx="8">
                  <c:v>44490</c:v>
                </c:pt>
                <c:pt idx="9">
                  <c:v>44521</c:v>
                </c:pt>
              </c:numCache>
            </c:numRef>
          </c:cat>
          <c:val>
            <c:numRef>
              <c:f>'Dashboard Condensed'!$B$167:$K$167</c:f>
              <c:numCache>
                <c:formatCode>#,##0.00_);[Red]\(#,##0.00\)</c:formatCode>
                <c:ptCount val="10"/>
                <c:pt idx="0">
                  <c:v>-22.16</c:v>
                </c:pt>
                <c:pt idx="1">
                  <c:v>-22.16</c:v>
                </c:pt>
                <c:pt idx="2">
                  <c:v>-22.16</c:v>
                </c:pt>
                <c:pt idx="3">
                  <c:v>-22.16</c:v>
                </c:pt>
                <c:pt idx="4">
                  <c:v>-22.16</c:v>
                </c:pt>
                <c:pt idx="5">
                  <c:v>-22.16</c:v>
                </c:pt>
                <c:pt idx="6">
                  <c:v>-22.16</c:v>
                </c:pt>
                <c:pt idx="7">
                  <c:v>-22.16</c:v>
                </c:pt>
                <c:pt idx="8">
                  <c:v>-22.16</c:v>
                </c:pt>
                <c:pt idx="9">
                  <c:v>-22.16</c:v>
                </c:pt>
              </c:numCache>
            </c:numRef>
          </c:val>
          <c:extLst>
            <c:ext xmlns:c16="http://schemas.microsoft.com/office/drawing/2014/chart" uri="{C3380CC4-5D6E-409C-BE32-E72D297353CC}">
              <c16:uniqueId val="{00000002-2172-41C9-BCF0-C50C3F2B5375}"/>
            </c:ext>
          </c:extLst>
        </c:ser>
        <c:dLbls>
          <c:showLegendKey val="0"/>
          <c:showVal val="0"/>
          <c:showCatName val="0"/>
          <c:showSerName val="0"/>
          <c:showPercent val="0"/>
          <c:showBubbleSize val="0"/>
        </c:dLbls>
        <c:gapWidth val="150"/>
        <c:overlap val="100"/>
        <c:axId val="596894248"/>
        <c:axId val="596897528"/>
      </c:barChart>
      <c:dateAx>
        <c:axId val="596894248"/>
        <c:scaling>
          <c:orientation val="minMax"/>
        </c:scaling>
        <c:delete val="0"/>
        <c:axPos val="b"/>
        <c:numFmt formatCode="mmmyy" sourceLinked="1"/>
        <c:majorTickMark val="out"/>
        <c:minorTickMark val="none"/>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crossAx val="596897528"/>
        <c:crosses val="autoZero"/>
        <c:auto val="1"/>
        <c:lblOffset val="100"/>
        <c:baseTimeUnit val="months"/>
      </c:dateAx>
      <c:valAx>
        <c:axId val="5968975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Dollars in Millions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_);[Red]\(#,##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68942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sz="1200">
                <a:solidFill>
                  <a:schemeClr val="tx1"/>
                </a:solidFill>
              </a:rPr>
              <a:t> </a:t>
            </a:r>
          </a:p>
        </c:rich>
      </c:tx>
      <c:layout>
        <c:manualLayout>
          <c:xMode val="edge"/>
          <c:yMode val="edge"/>
          <c:x val="0.8916627936877336"/>
          <c:y val="0.90137306543578588"/>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lotArea>
      <c:layout/>
      <c:pieChart>
        <c:varyColors val="1"/>
        <c:ser>
          <c:idx val="0"/>
          <c:order val="0"/>
          <c:tx>
            <c:strRef>
              <c:f>'Dashboard Condensed'!$B$172</c:f>
              <c:strCache>
                <c:ptCount val="1"/>
                <c:pt idx="0">
                  <c:v>Nov21</c:v>
                </c:pt>
              </c:strCache>
            </c:strRef>
          </c:tx>
          <c:dPt>
            <c:idx val="0"/>
            <c:bubble3D val="0"/>
            <c:spPr>
              <a:solidFill>
                <a:schemeClr val="accent5">
                  <a:lumMod val="20000"/>
                  <a:lumOff val="80000"/>
                </a:schemeClr>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6132-4B68-BAD8-76278A15A93F}"/>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3-6132-4B68-BAD8-76278A15A93F}"/>
              </c:ext>
            </c:extLst>
          </c:dPt>
          <c:dPt>
            <c:idx val="2"/>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5-6132-4B68-BAD8-76278A15A93F}"/>
              </c:ext>
            </c:extLst>
          </c:dPt>
          <c:dPt>
            <c:idx val="3"/>
            <c:bubble3D val="0"/>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7-6132-4B68-BAD8-76278A15A93F}"/>
              </c:ext>
            </c:extLst>
          </c:dPt>
          <c:dPt>
            <c:idx val="4"/>
            <c:bubble3D val="0"/>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9-6132-4B68-BAD8-76278A15A93F}"/>
              </c:ext>
            </c:extLst>
          </c:dPt>
          <c:dPt>
            <c:idx val="5"/>
            <c:bubble3D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C636-4A46-B8EC-E9625A508D7F}"/>
              </c:ext>
            </c:extLst>
          </c:dPt>
          <c:dPt>
            <c:idx val="6"/>
            <c:bubble3D val="0"/>
            <c:spPr>
              <a:gradFill rotWithShape="1">
                <a:gsLst>
                  <a:gs pos="0">
                    <a:schemeClr val="accent1">
                      <a:lumMod val="60000"/>
                      <a:shade val="51000"/>
                      <a:satMod val="130000"/>
                    </a:schemeClr>
                  </a:gs>
                  <a:gs pos="80000">
                    <a:schemeClr val="accent1">
                      <a:lumMod val="60000"/>
                      <a:shade val="93000"/>
                      <a:satMod val="130000"/>
                    </a:schemeClr>
                  </a:gs>
                  <a:gs pos="100000">
                    <a:schemeClr val="accent1">
                      <a:lumMod val="60000"/>
                      <a:shade val="94000"/>
                      <a:satMod val="135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2-C636-4A46-B8EC-E9625A508D7F}"/>
              </c:ext>
            </c:extLst>
          </c:dPt>
          <c:dPt>
            <c:idx val="7"/>
            <c:bubble3D val="0"/>
            <c:spPr>
              <a:gradFill rotWithShape="1">
                <a:gsLst>
                  <a:gs pos="0">
                    <a:schemeClr val="accent2">
                      <a:lumMod val="60000"/>
                      <a:shade val="51000"/>
                      <a:satMod val="130000"/>
                    </a:schemeClr>
                  </a:gs>
                  <a:gs pos="80000">
                    <a:schemeClr val="accent2">
                      <a:lumMod val="60000"/>
                      <a:shade val="93000"/>
                      <a:satMod val="130000"/>
                    </a:schemeClr>
                  </a:gs>
                  <a:gs pos="100000">
                    <a:schemeClr val="accent2">
                      <a:lumMod val="60000"/>
                      <a:shade val="94000"/>
                      <a:satMod val="135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5-C636-4A46-B8EC-E9625A508D7F}"/>
              </c:ext>
            </c:extLst>
          </c:dPt>
          <c:dPt>
            <c:idx val="8"/>
            <c:bubble3D val="0"/>
            <c:spPr>
              <a:gradFill rotWithShape="1">
                <a:gsLst>
                  <a:gs pos="0">
                    <a:schemeClr val="accent3">
                      <a:lumMod val="60000"/>
                      <a:shade val="51000"/>
                      <a:satMod val="130000"/>
                    </a:schemeClr>
                  </a:gs>
                  <a:gs pos="80000">
                    <a:schemeClr val="accent3">
                      <a:lumMod val="60000"/>
                      <a:shade val="93000"/>
                      <a:satMod val="130000"/>
                    </a:schemeClr>
                  </a:gs>
                  <a:gs pos="100000">
                    <a:schemeClr val="accent3">
                      <a:lumMod val="60000"/>
                      <a:shade val="94000"/>
                      <a:satMod val="135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3-C636-4A46-B8EC-E9625A508D7F}"/>
              </c:ext>
            </c:extLst>
          </c:dPt>
          <c:dPt>
            <c:idx val="9"/>
            <c:bubble3D val="0"/>
            <c:spPr>
              <a:gradFill rotWithShape="1">
                <a:gsLst>
                  <a:gs pos="0">
                    <a:schemeClr val="accent4">
                      <a:lumMod val="60000"/>
                      <a:shade val="51000"/>
                      <a:satMod val="130000"/>
                    </a:schemeClr>
                  </a:gs>
                  <a:gs pos="80000">
                    <a:schemeClr val="accent4">
                      <a:lumMod val="60000"/>
                      <a:shade val="93000"/>
                      <a:satMod val="130000"/>
                    </a:schemeClr>
                  </a:gs>
                  <a:gs pos="100000">
                    <a:schemeClr val="accent4">
                      <a:lumMod val="60000"/>
                      <a:shade val="94000"/>
                      <a:satMod val="135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4-C636-4A46-B8EC-E9625A508D7F}"/>
              </c:ext>
            </c:extLst>
          </c:dPt>
          <c:dPt>
            <c:idx val="10"/>
            <c:bubble3D val="0"/>
            <c:spPr>
              <a:gradFill rotWithShape="1">
                <a:gsLst>
                  <a:gs pos="0">
                    <a:schemeClr val="accent5">
                      <a:lumMod val="60000"/>
                      <a:shade val="51000"/>
                      <a:satMod val="130000"/>
                    </a:schemeClr>
                  </a:gs>
                  <a:gs pos="80000">
                    <a:schemeClr val="accent5">
                      <a:lumMod val="60000"/>
                      <a:shade val="93000"/>
                      <a:satMod val="130000"/>
                    </a:schemeClr>
                  </a:gs>
                  <a:gs pos="100000">
                    <a:schemeClr val="accent5">
                      <a:lumMod val="60000"/>
                      <a:shade val="94000"/>
                      <a:satMod val="135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15-6132-4B68-BAD8-76278A15A93F}"/>
              </c:ext>
            </c:extLst>
          </c:dPt>
          <c:dPt>
            <c:idx val="11"/>
            <c:bubble3D val="0"/>
            <c:spPr>
              <a:solidFill>
                <a:schemeClr val="accent4">
                  <a:lumMod val="40000"/>
                  <a:lumOff val="60000"/>
                </a:schemeClr>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16-D857-4E0E-AFCC-37E2EB931A0A}"/>
              </c:ext>
            </c:extLst>
          </c:dPt>
          <c:dPt>
            <c:idx val="12"/>
            <c:bubble3D val="0"/>
            <c:spPr>
              <a:solidFill>
                <a:schemeClr val="tx2">
                  <a:lumMod val="20000"/>
                  <a:lumOff val="80000"/>
                </a:schemeClr>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19-C30B-45E2-AB78-5FC8DBEEF528}"/>
              </c:ext>
            </c:extLst>
          </c:dPt>
          <c:dPt>
            <c:idx val="13"/>
            <c:bubble3D val="0"/>
            <c:explosion val="2"/>
            <c:spPr>
              <a:solidFill>
                <a:schemeClr val="accent2">
                  <a:lumMod val="40000"/>
                  <a:lumOff val="60000"/>
                </a:schemeClr>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1A-C30B-45E2-AB78-5FC8DBEEF528}"/>
              </c:ext>
            </c:extLst>
          </c:dPt>
          <c:dLbls>
            <c:dLbl>
              <c:idx val="0"/>
              <c:layout>
                <c:manualLayout>
                  <c:x val="3.500589009289716E-2"/>
                  <c:y val="1.059512909723493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6132-4B68-BAD8-76278A15A93F}"/>
                </c:ext>
              </c:extLst>
            </c:dLbl>
            <c:dLbl>
              <c:idx val="1"/>
              <c:layout>
                <c:manualLayout>
                  <c:x val="1.3350962913877546E-2"/>
                  <c:y val="-2.203283891839107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6132-4B68-BAD8-76278A15A93F}"/>
                </c:ext>
              </c:extLst>
            </c:dLbl>
            <c:dLbl>
              <c:idx val="2"/>
              <c:layout>
                <c:manualLayout>
                  <c:x val="2.0351215585111264E-2"/>
                  <c:y val="2.7394250137336346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6132-4B68-BAD8-76278A15A93F}"/>
                </c:ext>
              </c:extLst>
            </c:dLbl>
            <c:dLbl>
              <c:idx val="3"/>
              <c:layout>
                <c:manualLayout>
                  <c:x val="-3.603766665395189E-3"/>
                  <c:y val="-1.076918879017237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6132-4B68-BAD8-76278A15A93F}"/>
                </c:ext>
              </c:extLst>
            </c:dLbl>
            <c:dLbl>
              <c:idx val="4"/>
              <c:layout>
                <c:manualLayout>
                  <c:x val="-9.7608722529714566E-3"/>
                  <c:y val="1.769736922419575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6132-4B68-BAD8-76278A15A93F}"/>
                </c:ext>
              </c:extLst>
            </c:dLbl>
            <c:dLbl>
              <c:idx val="5"/>
              <c:layout>
                <c:manualLayout>
                  <c:x val="-4.6094706911636044E-2"/>
                  <c:y val="3.0117745698454358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C636-4A46-B8EC-E9625A508D7F}"/>
                </c:ext>
              </c:extLst>
            </c:dLbl>
            <c:dLbl>
              <c:idx val="6"/>
              <c:layout>
                <c:manualLayout>
                  <c:x val="-3.0637626116251453E-3"/>
                  <c:y val="6.078127448681657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C636-4A46-B8EC-E9625A508D7F}"/>
                </c:ext>
              </c:extLst>
            </c:dLbl>
            <c:dLbl>
              <c:idx val="7"/>
              <c:layout>
                <c:manualLayout>
                  <c:x val="-5.8074868096655241E-2"/>
                  <c:y val="3.453104478613865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636-4A46-B8EC-E9625A508D7F}"/>
                </c:ext>
              </c:extLst>
            </c:dLbl>
            <c:dLbl>
              <c:idx val="8"/>
              <c:layout>
                <c:manualLayout>
                  <c:x val="-3.5776889073045423E-2"/>
                  <c:y val="-6.7155905969658019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636-4A46-B8EC-E9625A508D7F}"/>
                </c:ext>
              </c:extLst>
            </c:dLbl>
            <c:dLbl>
              <c:idx val="9"/>
              <c:layout>
                <c:manualLayout>
                  <c:x val="-1.3291180108304969E-2"/>
                  <c:y val="-3.0636093999433504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C636-4A46-B8EC-E9625A508D7F}"/>
                </c:ext>
              </c:extLst>
            </c:dLbl>
            <c:dLbl>
              <c:idx val="10"/>
              <c:layout>
                <c:manualLayout>
                  <c:x val="-3.6320134148375462E-2"/>
                  <c:y val="-4.0265049831464353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15-6132-4B68-BAD8-76278A15A93F}"/>
                </c:ext>
              </c:extLst>
            </c:dLbl>
            <c:dLbl>
              <c:idx val="11"/>
              <c:layout>
                <c:manualLayout>
                  <c:x val="-4.5917796225007669E-2"/>
                  <c:y val="-3.6850146296090208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16-D857-4E0E-AFCC-37E2EB931A0A}"/>
                </c:ext>
              </c:extLst>
            </c:dLbl>
            <c:dLbl>
              <c:idx val="12"/>
              <c:layout>
                <c:manualLayout>
                  <c:x val="-2.8440462807906398E-2"/>
                  <c:y val="-5.4063752110167493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19-C30B-45E2-AB78-5FC8DBEEF528}"/>
                </c:ext>
              </c:extLst>
            </c:dLbl>
            <c:dLbl>
              <c:idx val="13"/>
              <c:layout>
                <c:manualLayout>
                  <c:x val="-1.2468708560111352E-2"/>
                  <c:y val="-5.0204539247605618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1A-C30B-45E2-AB78-5FC8DBEEF528}"/>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mn-lt"/>
                    <a:ea typeface="+mn-ea"/>
                    <a:cs typeface="+mn-cs"/>
                  </a:defRPr>
                </a:pPr>
                <a:endParaRPr lang="en-US"/>
              </a:p>
            </c:txPr>
            <c:dLblPos val="inEnd"/>
            <c:showLegendKey val="0"/>
            <c:showVal val="0"/>
            <c:showCatName val="0"/>
            <c:showSerName val="0"/>
            <c:showPercent val="1"/>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'Dashboard Condensed'!$A$173:$A$186</c:f>
              <c:strCache>
                <c:ptCount val="14"/>
                <c:pt idx="0">
                  <c:v>JPM</c:v>
                </c:pt>
                <c:pt idx="1">
                  <c:v>LOOP</c:v>
                </c:pt>
                <c:pt idx="2">
                  <c:v>Morgan Stanley</c:v>
                </c:pt>
                <c:pt idx="3">
                  <c:v>StoneX</c:v>
                </c:pt>
                <c:pt idx="4">
                  <c:v>EDF Energy Svcs</c:v>
                </c:pt>
                <c:pt idx="5">
                  <c:v>BP</c:v>
                </c:pt>
                <c:pt idx="6">
                  <c:v>Direct Energy</c:v>
                </c:pt>
                <c:pt idx="7">
                  <c:v>AEP</c:v>
                </c:pt>
                <c:pt idx="8">
                  <c:v>Exelon</c:v>
                </c:pt>
                <c:pt idx="9">
                  <c:v>TransAlta</c:v>
                </c:pt>
                <c:pt idx="10">
                  <c:v>Shell</c:v>
                </c:pt>
                <c:pt idx="11">
                  <c:v>Rail Splitter</c:v>
                </c:pt>
                <c:pt idx="12">
                  <c:v>Phoenix Solar SF</c:v>
                </c:pt>
                <c:pt idx="13">
                  <c:v>Northern Cardinal Solar</c:v>
                </c:pt>
              </c:strCache>
            </c:strRef>
          </c:cat>
          <c:val>
            <c:numRef>
              <c:f>'Dashboard Condensed'!$B$173:$B$186</c:f>
              <c:numCache>
                <c:formatCode>#,##0.00_);[Red]\(#,##0.00\)</c:formatCode>
                <c:ptCount val="14"/>
                <c:pt idx="0">
                  <c:v>3.5225</c:v>
                </c:pt>
                <c:pt idx="1">
                  <c:v>15.725</c:v>
                </c:pt>
                <c:pt idx="2">
                  <c:v>20.9175</c:v>
                </c:pt>
                <c:pt idx="3">
                  <c:v>17.68</c:v>
                </c:pt>
                <c:pt idx="4">
                  <c:v>3.08</c:v>
                </c:pt>
                <c:pt idx="5">
                  <c:v>14.38</c:v>
                </c:pt>
                <c:pt idx="6">
                  <c:v>0.8</c:v>
                </c:pt>
                <c:pt idx="7">
                  <c:v>0.25</c:v>
                </c:pt>
                <c:pt idx="8">
                  <c:v>0</c:v>
                </c:pt>
                <c:pt idx="9">
                  <c:v>0.06</c:v>
                </c:pt>
                <c:pt idx="10">
                  <c:v>2.81</c:v>
                </c:pt>
                <c:pt idx="11">
                  <c:v>4.68</c:v>
                </c:pt>
                <c:pt idx="12">
                  <c:v>5.4777639999999996</c:v>
                </c:pt>
                <c:pt idx="13">
                  <c:v>16.91</c:v>
                </c:pt>
              </c:numCache>
            </c:numRef>
          </c:val>
          <c:extLst>
            <c:ext xmlns:c16="http://schemas.microsoft.com/office/drawing/2014/chart" uri="{C3380CC4-5D6E-409C-BE32-E72D297353CC}">
              <c16:uniqueId val="{00000000-C636-4A46-B8EC-E9625A508D7F}"/>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orientation="portrait"/>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Current</a:t>
            </a:r>
            <a:r>
              <a:rPr lang="en-US" baseline="0"/>
              <a:t> Contract</a:t>
            </a:r>
            <a:r>
              <a:rPr lang="en-US"/>
              <a:t> Value</a:t>
            </a:r>
            <a:r>
              <a:rPr lang="en-US" baseline="0"/>
              <a:t> By Counterparty with PEI</a:t>
            </a:r>
            <a:br>
              <a:rPr lang="en-US" baseline="0"/>
            </a:br>
            <a:r>
              <a:rPr lang="en-US" baseline="0"/>
              <a:t> (% of Total)</a:t>
            </a:r>
            <a:endParaRPr lang="en-US"/>
          </a:p>
        </c:rich>
      </c:tx>
      <c:overlay val="0"/>
    </c:title>
    <c:autoTitleDeleted val="0"/>
    <c:plotArea>
      <c:layout/>
      <c:pieChart>
        <c:varyColors val="1"/>
        <c:ser>
          <c:idx val="0"/>
          <c:order val="0"/>
          <c:dLbls>
            <c:dLbl>
              <c:idx val="1"/>
              <c:layout>
                <c:manualLayout>
                  <c:x val="2.7555165824553571E-2"/>
                  <c:y val="9.763421760786114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0-C18E-4261-93E7-71021B71C1E8}"/>
                </c:ext>
              </c:extLst>
            </c:dLbl>
            <c:dLbl>
              <c:idx val="6"/>
              <c:delete val="1"/>
              <c:extLst>
                <c:ext xmlns:c15="http://schemas.microsoft.com/office/drawing/2012/chart" uri="{CE6537A1-D6FC-4f65-9D91-7224C49458BB}"/>
                <c:ext xmlns:c16="http://schemas.microsoft.com/office/drawing/2014/chart" uri="{C3380CC4-5D6E-409C-BE32-E72D297353CC}">
                  <c16:uniqueId val="{00000001-C18E-4261-93E7-71021B71C1E8}"/>
                </c:ext>
              </c:extLst>
            </c:dLbl>
            <c:numFmt formatCode="0.0%" sourceLinked="0"/>
            <c:spPr>
              <a:noFill/>
              <a:ln>
                <a:noFill/>
              </a:ln>
              <a:effectLst/>
            </c:spPr>
            <c:txPr>
              <a:bodyPr/>
              <a:lstStyle/>
              <a:p>
                <a:pPr>
                  <a:defRPr sz="1400" b="1"/>
                </a:pPr>
                <a:endParaRPr lang="en-US"/>
              </a:p>
            </c:txPr>
            <c:showLegendKey val="0"/>
            <c:showVal val="0"/>
            <c:showCatName val="0"/>
            <c:showSerName val="0"/>
            <c:showPercent val="1"/>
            <c:showBubbleSize val="0"/>
            <c:showLeaderLines val="0"/>
            <c:extLst>
              <c:ext xmlns:c15="http://schemas.microsoft.com/office/drawing/2012/chart" uri="{CE6537A1-D6FC-4f65-9D91-7224C49458BB}"/>
            </c:extLst>
          </c:dLbls>
          <c:cat>
            <c:strRef>
              <c:f>'Chart-Data'!$B$19:$B$24</c:f>
              <c:strCache>
                <c:ptCount val="6"/>
                <c:pt idx="0">
                  <c:v>NRG Energy, Inc.</c:v>
                </c:pt>
                <c:pt idx="1">
                  <c:v>Exelon Energy Marketing</c:v>
                </c:pt>
                <c:pt idx="2">
                  <c:v>JP Morgan Chase NA</c:v>
                </c:pt>
                <c:pt idx="3">
                  <c:v>Loop Financial Products, LLC</c:v>
                </c:pt>
                <c:pt idx="4">
                  <c:v>Morgan Stanley</c:v>
                </c:pt>
                <c:pt idx="5">
                  <c:v>Sequent Energy Management, LP</c:v>
                </c:pt>
              </c:strCache>
            </c:strRef>
          </c:cat>
          <c:val>
            <c:numRef>
              <c:f>'Chart-Data'!$G$19:$G$24</c:f>
              <c:numCache>
                <c:formatCode>0.00%</c:formatCode>
                <c:ptCount val="6"/>
                <c:pt idx="0">
                  <c:v>1.0173743380098486E-2</c:v>
                </c:pt>
                <c:pt idx="1">
                  <c:v>1.2589426739756574E-2</c:v>
                </c:pt>
                <c:pt idx="2">
                  <c:v>0.10768373130168168</c:v>
                </c:pt>
                <c:pt idx="3">
                  <c:v>0.16533494378890645</c:v>
                </c:pt>
                <c:pt idx="4">
                  <c:v>0.62412896032704634</c:v>
                </c:pt>
                <c:pt idx="5">
                  <c:v>8.0089194462510449E-2</c:v>
                </c:pt>
              </c:numCache>
            </c:numRef>
          </c:val>
          <c:extLst>
            <c:ext xmlns:c16="http://schemas.microsoft.com/office/drawing/2014/chart" uri="{C3380CC4-5D6E-409C-BE32-E72D297353CC}">
              <c16:uniqueId val="{00000002-C18E-4261-93E7-71021B71C1E8}"/>
            </c:ext>
          </c:extLst>
        </c:ser>
        <c:dLbls>
          <c:showLegendKey val="0"/>
          <c:showVal val="0"/>
          <c:showCatName val="0"/>
          <c:showSerName val="0"/>
          <c:showPercent val="1"/>
          <c:showBubbleSize val="0"/>
          <c:showLeaderLines val="0"/>
        </c:dLbls>
        <c:firstSliceAng val="0"/>
      </c:pieChart>
    </c:plotArea>
    <c:legend>
      <c:legendPos val="r"/>
      <c:overlay val="0"/>
      <c:txPr>
        <a:bodyPr/>
        <a:lstStyle/>
        <a:p>
          <a:pPr rtl="0">
            <a:defRPr sz="1200" baseline="0"/>
          </a:pPr>
          <a:endParaRPr lang="en-US"/>
        </a:p>
      </c:txPr>
    </c:legend>
    <c:plotVisOnly val="0"/>
    <c:dispBlanksAs val="zero"/>
    <c:showDLblsOverMax val="0"/>
  </c:chart>
  <c:spPr>
    <a:solidFill>
      <a:srgbClr val="FFFFCC"/>
    </a:solidFill>
  </c:spPr>
  <c:printSettings>
    <c:headerFooter/>
    <c:pageMargins b="0.75000000000000533" l="0.70000000000000062" r="0.70000000000000062" t="0.75000000000000533" header="0.30000000000000032" footer="0.30000000000000032"/>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n-US" sz="1600"/>
              <a:t>University Net Total Termination Value with PEI</a:t>
            </a:r>
            <a:br>
              <a:rPr lang="en-US" sz="1600"/>
            </a:br>
            <a:r>
              <a:rPr lang="en-US" sz="1600" b="1" i="0" u="none" strike="noStrike" baseline="0"/>
              <a:t>($ Millions)</a:t>
            </a:r>
            <a:r>
              <a:rPr lang="en-US" sz="1600"/>
              <a:t> </a:t>
            </a:r>
          </a:p>
        </c:rich>
      </c:tx>
      <c:overlay val="0"/>
    </c:title>
    <c:autoTitleDeleted val="0"/>
    <c:plotArea>
      <c:layout>
        <c:manualLayout>
          <c:layoutTarget val="inner"/>
          <c:xMode val="edge"/>
          <c:yMode val="edge"/>
          <c:x val="4.8067264526662559E-2"/>
          <c:y val="0.1843648374637134"/>
          <c:w val="0.84341141272954934"/>
          <c:h val="0.54246178893062325"/>
        </c:manualLayout>
      </c:layout>
      <c:barChart>
        <c:barDir val="col"/>
        <c:grouping val="stacked"/>
        <c:varyColors val="0"/>
        <c:ser>
          <c:idx val="1"/>
          <c:order val="0"/>
          <c:tx>
            <c:strRef>
              <c:f>'Chart-Data'!$B$11</c:f>
              <c:strCache>
                <c:ptCount val="1"/>
                <c:pt idx="0">
                  <c:v>NRG Energy, Inc.</c:v>
                </c:pt>
              </c:strCache>
            </c:strRef>
          </c:tx>
          <c:spPr>
            <a:solidFill>
              <a:schemeClr val="tx2">
                <a:lumMod val="75000"/>
              </a:schemeClr>
            </a:solidFill>
          </c:spPr>
          <c:invertIfNegative val="0"/>
          <c:cat>
            <c:numRef>
              <c:f>'Chart-Data'!$DM$70:$DX$70</c:f>
              <c:numCache>
                <c:formatCode>mmmyy</c:formatCode>
                <c:ptCount val="12"/>
                <c:pt idx="0">
                  <c:v>41773</c:v>
                </c:pt>
                <c:pt idx="1">
                  <c:v>41773</c:v>
                </c:pt>
                <c:pt idx="2">
                  <c:v>41773</c:v>
                </c:pt>
                <c:pt idx="3">
                  <c:v>41743</c:v>
                </c:pt>
                <c:pt idx="4">
                  <c:v>41712</c:v>
                </c:pt>
                <c:pt idx="5">
                  <c:v>41684</c:v>
                </c:pt>
                <c:pt idx="6">
                  <c:v>41653</c:v>
                </c:pt>
                <c:pt idx="7">
                  <c:v>41621</c:v>
                </c:pt>
                <c:pt idx="8">
                  <c:v>41591</c:v>
                </c:pt>
                <c:pt idx="9">
                  <c:v>41560</c:v>
                </c:pt>
                <c:pt idx="10">
                  <c:v>41530</c:v>
                </c:pt>
                <c:pt idx="11">
                  <c:v>41499</c:v>
                </c:pt>
              </c:numCache>
            </c:numRef>
          </c:cat>
          <c:val>
            <c:numRef>
              <c:f>'Chart-Data'!$DM$78:$DX$78</c:f>
              <c:numCache>
                <c:formatCode>_("$"* #,##0.00_);_("$"* \(#,##0.00\);_("$"* "-"??_);_(@_)</c:formatCode>
                <c:ptCount val="12"/>
                <c:pt idx="0">
                  <c:v>0.01</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5245-477C-9258-661564BBEC17}"/>
            </c:ext>
          </c:extLst>
        </c:ser>
        <c:ser>
          <c:idx val="5"/>
          <c:order val="1"/>
          <c:tx>
            <c:strRef>
              <c:f>'Chart-Data'!$B$10</c:f>
              <c:strCache>
                <c:ptCount val="1"/>
                <c:pt idx="0">
                  <c:v>Sequent Energy Management, LP</c:v>
                </c:pt>
              </c:strCache>
            </c:strRef>
          </c:tx>
          <c:invertIfNegative val="0"/>
          <c:cat>
            <c:numRef>
              <c:f>'Chart-Data'!$DM$70:$DX$70</c:f>
              <c:numCache>
                <c:formatCode>mmmyy</c:formatCode>
                <c:ptCount val="12"/>
                <c:pt idx="0">
                  <c:v>41773</c:v>
                </c:pt>
                <c:pt idx="1">
                  <c:v>41773</c:v>
                </c:pt>
                <c:pt idx="2">
                  <c:v>41773</c:v>
                </c:pt>
                <c:pt idx="3">
                  <c:v>41743</c:v>
                </c:pt>
                <c:pt idx="4">
                  <c:v>41712</c:v>
                </c:pt>
                <c:pt idx="5">
                  <c:v>41684</c:v>
                </c:pt>
                <c:pt idx="6">
                  <c:v>41653</c:v>
                </c:pt>
                <c:pt idx="7">
                  <c:v>41621</c:v>
                </c:pt>
                <c:pt idx="8">
                  <c:v>41591</c:v>
                </c:pt>
                <c:pt idx="9">
                  <c:v>41560</c:v>
                </c:pt>
                <c:pt idx="10">
                  <c:v>41530</c:v>
                </c:pt>
                <c:pt idx="11">
                  <c:v>41499</c:v>
                </c:pt>
              </c:numCache>
            </c:numRef>
          </c:cat>
          <c:val>
            <c:numRef>
              <c:f>'Chart-Data'!$DM$77:$DX$77</c:f>
              <c:numCache>
                <c:formatCode>_("$"* #,##0.00_);_("$"* \(#,##0.00\);_("$"* "-"??_);_(@_)</c:formatCode>
                <c:ptCount val="12"/>
                <c:pt idx="0">
                  <c:v>-1.059153</c:v>
                </c:pt>
                <c:pt idx="1">
                  <c:v>0</c:v>
                </c:pt>
                <c:pt idx="2">
                  <c:v>0</c:v>
                </c:pt>
                <c:pt idx="3">
                  <c:v>-0.76319000000000004</c:v>
                </c:pt>
                <c:pt idx="4">
                  <c:v>-1.0326759999999999</c:v>
                </c:pt>
                <c:pt idx="5">
                  <c:v>1.025576</c:v>
                </c:pt>
                <c:pt idx="6">
                  <c:v>1.8138540000000001</c:v>
                </c:pt>
                <c:pt idx="7">
                  <c:v>0.97752899999999998</c:v>
                </c:pt>
                <c:pt idx="8">
                  <c:v>1.3448420000000001</c:v>
                </c:pt>
                <c:pt idx="9">
                  <c:v>3.9308719999999999</c:v>
                </c:pt>
                <c:pt idx="10">
                  <c:v>3.1211289999999998</c:v>
                </c:pt>
                <c:pt idx="11">
                  <c:v>2.7665820000000001</c:v>
                </c:pt>
              </c:numCache>
            </c:numRef>
          </c:val>
          <c:extLst>
            <c:ext xmlns:c16="http://schemas.microsoft.com/office/drawing/2014/chart" uri="{C3380CC4-5D6E-409C-BE32-E72D297353CC}">
              <c16:uniqueId val="{00000001-5245-477C-9258-661564BBEC17}"/>
            </c:ext>
          </c:extLst>
        </c:ser>
        <c:ser>
          <c:idx val="4"/>
          <c:order val="2"/>
          <c:tx>
            <c:strRef>
              <c:f>'Chart-Data'!$B$9</c:f>
              <c:strCache>
                <c:ptCount val="1"/>
                <c:pt idx="0">
                  <c:v>Morgan Stanley Capital Services Inc.</c:v>
                </c:pt>
              </c:strCache>
            </c:strRef>
          </c:tx>
          <c:invertIfNegative val="0"/>
          <c:cat>
            <c:numRef>
              <c:f>'Chart-Data'!$DM$70:$DX$70</c:f>
              <c:numCache>
                <c:formatCode>mmmyy</c:formatCode>
                <c:ptCount val="12"/>
                <c:pt idx="0">
                  <c:v>41773</c:v>
                </c:pt>
                <c:pt idx="1">
                  <c:v>41773</c:v>
                </c:pt>
                <c:pt idx="2">
                  <c:v>41773</c:v>
                </c:pt>
                <c:pt idx="3">
                  <c:v>41743</c:v>
                </c:pt>
                <c:pt idx="4">
                  <c:v>41712</c:v>
                </c:pt>
                <c:pt idx="5">
                  <c:v>41684</c:v>
                </c:pt>
                <c:pt idx="6">
                  <c:v>41653</c:v>
                </c:pt>
                <c:pt idx="7">
                  <c:v>41621</c:v>
                </c:pt>
                <c:pt idx="8">
                  <c:v>41591</c:v>
                </c:pt>
                <c:pt idx="9">
                  <c:v>41560</c:v>
                </c:pt>
                <c:pt idx="10">
                  <c:v>41530</c:v>
                </c:pt>
                <c:pt idx="11">
                  <c:v>41499</c:v>
                </c:pt>
              </c:numCache>
            </c:numRef>
          </c:cat>
          <c:val>
            <c:numRef>
              <c:f>'Chart-Data'!$DM$76:$DX$76</c:f>
              <c:numCache>
                <c:formatCode>_("$"* #,##0.00_);_("$"* \(#,##0.00\);_("$"* "-"??_);_(@_)</c:formatCode>
                <c:ptCount val="12"/>
                <c:pt idx="0">
                  <c:v>16.369260000000001</c:v>
                </c:pt>
                <c:pt idx="1">
                  <c:v>0</c:v>
                </c:pt>
                <c:pt idx="2">
                  <c:v>0</c:v>
                </c:pt>
                <c:pt idx="3">
                  <c:v>15.59912233</c:v>
                </c:pt>
                <c:pt idx="4">
                  <c:v>15.18394777</c:v>
                </c:pt>
                <c:pt idx="5">
                  <c:v>15.562616390000001</c:v>
                </c:pt>
                <c:pt idx="6">
                  <c:v>17.39634371</c:v>
                </c:pt>
                <c:pt idx="7">
                  <c:v>16.316679399999998</c:v>
                </c:pt>
                <c:pt idx="8">
                  <c:v>17.4912378</c:v>
                </c:pt>
                <c:pt idx="9">
                  <c:v>17.569483129999998</c:v>
                </c:pt>
                <c:pt idx="10">
                  <c:v>16.987170509999999</c:v>
                </c:pt>
                <c:pt idx="11">
                  <c:v>15.80911395</c:v>
                </c:pt>
              </c:numCache>
            </c:numRef>
          </c:val>
          <c:extLst>
            <c:ext xmlns:c16="http://schemas.microsoft.com/office/drawing/2014/chart" uri="{C3380CC4-5D6E-409C-BE32-E72D297353CC}">
              <c16:uniqueId val="{00000002-5245-477C-9258-661564BBEC17}"/>
            </c:ext>
          </c:extLst>
        </c:ser>
        <c:ser>
          <c:idx val="3"/>
          <c:order val="3"/>
          <c:tx>
            <c:strRef>
              <c:f>'Chart-Data'!$B$8</c:f>
              <c:strCache>
                <c:ptCount val="1"/>
                <c:pt idx="0">
                  <c:v>Loop Financial Products I LLC</c:v>
                </c:pt>
              </c:strCache>
            </c:strRef>
          </c:tx>
          <c:invertIfNegative val="0"/>
          <c:cat>
            <c:numRef>
              <c:f>'Chart-Data'!$DM$70:$DX$70</c:f>
              <c:numCache>
                <c:formatCode>mmmyy</c:formatCode>
                <c:ptCount val="12"/>
                <c:pt idx="0">
                  <c:v>41773</c:v>
                </c:pt>
                <c:pt idx="1">
                  <c:v>41773</c:v>
                </c:pt>
                <c:pt idx="2">
                  <c:v>41773</c:v>
                </c:pt>
                <c:pt idx="3">
                  <c:v>41743</c:v>
                </c:pt>
                <c:pt idx="4">
                  <c:v>41712</c:v>
                </c:pt>
                <c:pt idx="5">
                  <c:v>41684</c:v>
                </c:pt>
                <c:pt idx="6">
                  <c:v>41653</c:v>
                </c:pt>
                <c:pt idx="7">
                  <c:v>41621</c:v>
                </c:pt>
                <c:pt idx="8">
                  <c:v>41591</c:v>
                </c:pt>
                <c:pt idx="9">
                  <c:v>41560</c:v>
                </c:pt>
                <c:pt idx="10">
                  <c:v>41530</c:v>
                </c:pt>
                <c:pt idx="11">
                  <c:v>41499</c:v>
                </c:pt>
              </c:numCache>
            </c:numRef>
          </c:cat>
          <c:val>
            <c:numRef>
              <c:f>'Chart-Data'!$DM$75:$DX$75</c:f>
              <c:numCache>
                <c:formatCode>_("$"* #,##0.00_);_("$"* \(#,##0.00\);_("$"* "-"??_);_(@_)</c:formatCode>
                <c:ptCount val="12"/>
                <c:pt idx="0">
                  <c:v>4.7187799999999998</c:v>
                </c:pt>
                <c:pt idx="1">
                  <c:v>0</c:v>
                </c:pt>
                <c:pt idx="2">
                  <c:v>0</c:v>
                </c:pt>
                <c:pt idx="3">
                  <c:v>4.4887825499999998</c:v>
                </c:pt>
                <c:pt idx="4">
                  <c:v>4.34756768</c:v>
                </c:pt>
                <c:pt idx="5">
                  <c:v>4.5967950100000001</c:v>
                </c:pt>
                <c:pt idx="6">
                  <c:v>4.5403205499999997</c:v>
                </c:pt>
                <c:pt idx="7">
                  <c:v>4.1440536400000001</c:v>
                </c:pt>
                <c:pt idx="8">
                  <c:v>4.63459588</c:v>
                </c:pt>
                <c:pt idx="9">
                  <c:v>4.8817685400000004</c:v>
                </c:pt>
                <c:pt idx="10">
                  <c:v>4.7543476799999995</c:v>
                </c:pt>
                <c:pt idx="11">
                  <c:v>4.4769954299999997</c:v>
                </c:pt>
              </c:numCache>
            </c:numRef>
          </c:val>
          <c:extLst>
            <c:ext xmlns:c16="http://schemas.microsoft.com/office/drawing/2014/chart" uri="{C3380CC4-5D6E-409C-BE32-E72D297353CC}">
              <c16:uniqueId val="{00000003-5245-477C-9258-661564BBEC17}"/>
            </c:ext>
          </c:extLst>
        </c:ser>
        <c:ser>
          <c:idx val="2"/>
          <c:order val="4"/>
          <c:tx>
            <c:strRef>
              <c:f>'Chart-Data'!$B$7</c:f>
              <c:strCache>
                <c:ptCount val="1"/>
                <c:pt idx="0">
                  <c:v>JPMorgan Chase Bank, N.A.</c:v>
                </c:pt>
              </c:strCache>
            </c:strRef>
          </c:tx>
          <c:invertIfNegative val="0"/>
          <c:cat>
            <c:numRef>
              <c:f>'Chart-Data'!$DM$70:$DX$70</c:f>
              <c:numCache>
                <c:formatCode>mmmyy</c:formatCode>
                <c:ptCount val="12"/>
                <c:pt idx="0">
                  <c:v>41773</c:v>
                </c:pt>
                <c:pt idx="1">
                  <c:v>41773</c:v>
                </c:pt>
                <c:pt idx="2">
                  <c:v>41773</c:v>
                </c:pt>
                <c:pt idx="3">
                  <c:v>41743</c:v>
                </c:pt>
                <c:pt idx="4">
                  <c:v>41712</c:v>
                </c:pt>
                <c:pt idx="5">
                  <c:v>41684</c:v>
                </c:pt>
                <c:pt idx="6">
                  <c:v>41653</c:v>
                </c:pt>
                <c:pt idx="7">
                  <c:v>41621</c:v>
                </c:pt>
                <c:pt idx="8">
                  <c:v>41591</c:v>
                </c:pt>
                <c:pt idx="9">
                  <c:v>41560</c:v>
                </c:pt>
                <c:pt idx="10">
                  <c:v>41530</c:v>
                </c:pt>
                <c:pt idx="11">
                  <c:v>41499</c:v>
                </c:pt>
              </c:numCache>
            </c:numRef>
          </c:cat>
          <c:val>
            <c:numRef>
              <c:f>'Chart-Data'!$DM$74:$DX$74</c:f>
              <c:numCache>
                <c:formatCode>_("$"* #,##0.00_);_("$"* \(#,##0.00\);_("$"* "-"??_);_(@_)</c:formatCode>
                <c:ptCount val="12"/>
                <c:pt idx="0">
                  <c:v>3.0709919999999999</c:v>
                </c:pt>
                <c:pt idx="1">
                  <c:v>0</c:v>
                </c:pt>
                <c:pt idx="2">
                  <c:v>0</c:v>
                </c:pt>
                <c:pt idx="3">
                  <c:v>3.0135725</c:v>
                </c:pt>
                <c:pt idx="4">
                  <c:v>2.9967290899999997</c:v>
                </c:pt>
                <c:pt idx="5">
                  <c:v>3.1682481600000001</c:v>
                </c:pt>
                <c:pt idx="6">
                  <c:v>3.20344213</c:v>
                </c:pt>
                <c:pt idx="7">
                  <c:v>3.0833353199999998</c:v>
                </c:pt>
                <c:pt idx="8">
                  <c:v>3.3247342599999996</c:v>
                </c:pt>
                <c:pt idx="9">
                  <c:v>3.4584720600000001</c:v>
                </c:pt>
                <c:pt idx="10">
                  <c:v>3.43198479</c:v>
                </c:pt>
                <c:pt idx="11">
                  <c:v>3.29002018</c:v>
                </c:pt>
              </c:numCache>
            </c:numRef>
          </c:val>
          <c:extLst>
            <c:ext xmlns:c16="http://schemas.microsoft.com/office/drawing/2014/chart" uri="{C3380CC4-5D6E-409C-BE32-E72D297353CC}">
              <c16:uniqueId val="{00000004-5245-477C-9258-661564BBEC17}"/>
            </c:ext>
          </c:extLst>
        </c:ser>
        <c:ser>
          <c:idx val="0"/>
          <c:order val="5"/>
          <c:tx>
            <c:v>AEP &amp; Exelon Energy Marketing</c:v>
          </c:tx>
          <c:spPr>
            <a:solidFill>
              <a:schemeClr val="accent2"/>
            </a:solidFill>
            <a:ln>
              <a:solidFill>
                <a:schemeClr val="accent2"/>
              </a:solidFill>
            </a:ln>
          </c:spPr>
          <c:invertIfNegative val="0"/>
          <c:cat>
            <c:numRef>
              <c:f>'Chart-Data'!$DM$70:$DX$70</c:f>
              <c:numCache>
                <c:formatCode>mmmyy</c:formatCode>
                <c:ptCount val="12"/>
                <c:pt idx="0">
                  <c:v>41773</c:v>
                </c:pt>
                <c:pt idx="1">
                  <c:v>41773</c:v>
                </c:pt>
                <c:pt idx="2">
                  <c:v>41773</c:v>
                </c:pt>
                <c:pt idx="3">
                  <c:v>41743</c:v>
                </c:pt>
                <c:pt idx="4">
                  <c:v>41712</c:v>
                </c:pt>
                <c:pt idx="5">
                  <c:v>41684</c:v>
                </c:pt>
                <c:pt idx="6">
                  <c:v>41653</c:v>
                </c:pt>
                <c:pt idx="7">
                  <c:v>41621</c:v>
                </c:pt>
                <c:pt idx="8">
                  <c:v>41591</c:v>
                </c:pt>
                <c:pt idx="9">
                  <c:v>41560</c:v>
                </c:pt>
                <c:pt idx="10">
                  <c:v>41530</c:v>
                </c:pt>
                <c:pt idx="11">
                  <c:v>41499</c:v>
                </c:pt>
              </c:numCache>
            </c:numRef>
          </c:cat>
          <c:val>
            <c:numRef>
              <c:f>'Chart-Data'!$DM$72:$DX$72</c:f>
              <c:numCache>
                <c:formatCode>_("$"* #,##0.00_);_("$"* \(#,##0.00\);_("$"* "-"??_);_(@_)</c:formatCode>
                <c:ptCount val="12"/>
                <c:pt idx="0">
                  <c:v>0</c:v>
                </c:pt>
                <c:pt idx="1">
                  <c:v>0</c:v>
                </c:pt>
                <c:pt idx="2">
                  <c:v>0</c:v>
                </c:pt>
                <c:pt idx="3">
                  <c:v>-1.7952399999999875E-4</c:v>
                </c:pt>
                <c:pt idx="4">
                  <c:v>-1.7952399999999875E-4</c:v>
                </c:pt>
                <c:pt idx="5">
                  <c:v>-1.7952399999999875E-4</c:v>
                </c:pt>
                <c:pt idx="6">
                  <c:v>-1.7952399999999875E-4</c:v>
                </c:pt>
                <c:pt idx="7">
                  <c:v>-1.7952399999999875E-4</c:v>
                </c:pt>
                <c:pt idx="8">
                  <c:v>-1.7952399999999875E-4</c:v>
                </c:pt>
                <c:pt idx="9">
                  <c:v>-1.7952399999999875E-4</c:v>
                </c:pt>
                <c:pt idx="10">
                  <c:v>-1.7952399999999875E-4</c:v>
                </c:pt>
                <c:pt idx="11">
                  <c:v>0.10947640000000003</c:v>
                </c:pt>
              </c:numCache>
            </c:numRef>
          </c:val>
          <c:extLst>
            <c:ext xmlns:c16="http://schemas.microsoft.com/office/drawing/2014/chart" uri="{C3380CC4-5D6E-409C-BE32-E72D297353CC}">
              <c16:uniqueId val="{00000005-5245-477C-9258-661564BBEC17}"/>
            </c:ext>
          </c:extLst>
        </c:ser>
        <c:dLbls>
          <c:showLegendKey val="0"/>
          <c:showVal val="0"/>
          <c:showCatName val="0"/>
          <c:showSerName val="0"/>
          <c:showPercent val="0"/>
          <c:showBubbleSize val="0"/>
        </c:dLbls>
        <c:gapWidth val="150"/>
        <c:overlap val="100"/>
        <c:axId val="482195656"/>
        <c:axId val="484771544"/>
      </c:barChart>
      <c:dateAx>
        <c:axId val="482195656"/>
        <c:scaling>
          <c:orientation val="minMax"/>
        </c:scaling>
        <c:delete val="0"/>
        <c:axPos val="b"/>
        <c:numFmt formatCode="[$-409]mmm\-yy;@" sourceLinked="0"/>
        <c:majorTickMark val="out"/>
        <c:minorTickMark val="none"/>
        <c:tickLblPos val="nextTo"/>
        <c:txPr>
          <a:bodyPr rot="-2280000"/>
          <a:lstStyle/>
          <a:p>
            <a:pPr>
              <a:defRPr sz="1200"/>
            </a:pPr>
            <a:endParaRPr lang="en-US"/>
          </a:p>
        </c:txPr>
        <c:crossAx val="484771544"/>
        <c:crossesAt val="-5"/>
        <c:auto val="1"/>
        <c:lblOffset val="100"/>
        <c:baseTimeUnit val="months"/>
      </c:dateAx>
      <c:valAx>
        <c:axId val="484771544"/>
        <c:scaling>
          <c:orientation val="minMax"/>
        </c:scaling>
        <c:delete val="0"/>
        <c:axPos val="r"/>
        <c:majorGridlines/>
        <c:title>
          <c:tx>
            <c:rich>
              <a:bodyPr rot="-5400000" vert="horz"/>
              <a:lstStyle/>
              <a:p>
                <a:pPr>
                  <a:defRPr/>
                </a:pPr>
                <a:r>
                  <a:rPr lang="en-US" sz="1400" b="1" i="0" baseline="0"/>
                  <a:t>Termination Value</a:t>
                </a:r>
                <a:endParaRPr lang="en-US" sz="1400"/>
              </a:p>
            </c:rich>
          </c:tx>
          <c:overlay val="0"/>
        </c:title>
        <c:numFmt formatCode="&quot;$&quot;#,##0" sourceLinked="0"/>
        <c:majorTickMark val="out"/>
        <c:minorTickMark val="none"/>
        <c:tickLblPos val="nextTo"/>
        <c:txPr>
          <a:bodyPr/>
          <a:lstStyle/>
          <a:p>
            <a:pPr>
              <a:defRPr sz="1400"/>
            </a:pPr>
            <a:endParaRPr lang="en-US"/>
          </a:p>
        </c:txPr>
        <c:crossAx val="482195656"/>
        <c:crosses val="max"/>
        <c:crossBetween val="between"/>
      </c:valAx>
    </c:plotArea>
    <c:legend>
      <c:legendPos val="b"/>
      <c:layout>
        <c:manualLayout>
          <c:xMode val="edge"/>
          <c:yMode val="edge"/>
          <c:x val="6.5515517575103585E-2"/>
          <c:y val="0.82998048441564132"/>
          <c:w val="0.8650977630855019"/>
          <c:h val="0.15432797260528419"/>
        </c:manualLayout>
      </c:layout>
      <c:overlay val="0"/>
      <c:spPr>
        <a:ln w="0"/>
      </c:spPr>
      <c:txPr>
        <a:bodyPr/>
        <a:lstStyle/>
        <a:p>
          <a:pPr>
            <a:defRPr sz="1200"/>
          </a:pPr>
          <a:endParaRPr lang="en-US"/>
        </a:p>
      </c:txPr>
    </c:legend>
    <c:plotVisOnly val="1"/>
    <c:dispBlanksAs val="gap"/>
    <c:showDLblsOverMax val="0"/>
  </c:chart>
  <c:spPr>
    <a:solidFill>
      <a:srgbClr val="FFFFCC"/>
    </a:solidFill>
  </c:spPr>
  <c:printSettings>
    <c:headerFooter>
      <c:oddHeader>&amp;C&amp;"Arial,Bold"&amp;72&amp;G
University of Illinois - &amp;22Hedging Position Report&amp;R&amp;12&amp;D
&amp;T</c:oddHeader>
    </c:headerFooter>
    <c:pageMargins b="0.75000000000000477" l="0.70000000000000062" r="0.70000000000000062" t="0.75000000000000477"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800" b="1" i="0" baseline="0">
                <a:effectLst/>
              </a:rPr>
              <a:t>AEP Service Corp &amp; Exelon Generation</a:t>
            </a:r>
            <a:br>
              <a:rPr lang="en-US" sz="1800" b="1" i="0" baseline="0">
                <a:effectLst/>
              </a:rPr>
            </a:br>
            <a:r>
              <a:rPr lang="en-US" sz="1800" b="1" i="0" baseline="0">
                <a:effectLst/>
              </a:rPr>
              <a:t>($ Millions)</a:t>
            </a:r>
            <a:endParaRPr lang="en-US">
              <a:effectLst/>
            </a:endParaRPr>
          </a:p>
        </c:rich>
      </c:tx>
      <c:overlay val="0"/>
    </c:title>
    <c:autoTitleDeleted val="0"/>
    <c:plotArea>
      <c:layout/>
      <c:barChart>
        <c:barDir val="col"/>
        <c:grouping val="stacked"/>
        <c:varyColors val="0"/>
        <c:ser>
          <c:idx val="0"/>
          <c:order val="0"/>
          <c:tx>
            <c:strRef>
              <c:f>'Chart-Data'!$B$6</c:f>
              <c:strCache>
                <c:ptCount val="1"/>
                <c:pt idx="0">
                  <c:v>Exelon Energy Marketing</c:v>
                </c:pt>
              </c:strCache>
            </c:strRef>
          </c:tx>
          <c:invertIfNegative val="0"/>
          <c:cat>
            <c:numRef>
              <c:f>'Chart-Data'!$DM$70:$DX$70</c:f>
              <c:numCache>
                <c:formatCode>mmmyy</c:formatCode>
                <c:ptCount val="12"/>
                <c:pt idx="0">
                  <c:v>41773</c:v>
                </c:pt>
                <c:pt idx="1">
                  <c:v>41773</c:v>
                </c:pt>
                <c:pt idx="2">
                  <c:v>41773</c:v>
                </c:pt>
                <c:pt idx="3">
                  <c:v>41743</c:v>
                </c:pt>
                <c:pt idx="4">
                  <c:v>41712</c:v>
                </c:pt>
                <c:pt idx="5">
                  <c:v>41684</c:v>
                </c:pt>
                <c:pt idx="6">
                  <c:v>41653</c:v>
                </c:pt>
                <c:pt idx="7">
                  <c:v>41621</c:v>
                </c:pt>
                <c:pt idx="8">
                  <c:v>41591</c:v>
                </c:pt>
                <c:pt idx="9">
                  <c:v>41560</c:v>
                </c:pt>
                <c:pt idx="10">
                  <c:v>41530</c:v>
                </c:pt>
                <c:pt idx="11">
                  <c:v>41499</c:v>
                </c:pt>
              </c:numCache>
            </c:numRef>
          </c:cat>
          <c:val>
            <c:numRef>
              <c:f>'Chart-Data'!$DM$73:$DX$73</c:f>
              <c:numCache>
                <c:formatCode>_("$"* #,##0.00_);_("$"* \(#,##0.00\);_("$"* "-"??_);_(@_)</c:formatCode>
                <c:ptCount val="12"/>
                <c:pt idx="0">
                  <c:v>-0.7</c:v>
                </c:pt>
                <c:pt idx="1">
                  <c:v>0</c:v>
                </c:pt>
                <c:pt idx="2">
                  <c:v>0</c:v>
                </c:pt>
                <c:pt idx="3">
                  <c:v>-0.75</c:v>
                </c:pt>
                <c:pt idx="4">
                  <c:v>-0.48</c:v>
                </c:pt>
                <c:pt idx="5">
                  <c:v>-0.79</c:v>
                </c:pt>
                <c:pt idx="6">
                  <c:v>-0.37</c:v>
                </c:pt>
                <c:pt idx="7">
                  <c:v>-0.14000000000000001</c:v>
                </c:pt>
                <c:pt idx="8">
                  <c:v>-6.7798560000000105E-2</c:v>
                </c:pt>
                <c:pt idx="9">
                  <c:v>7.9484369999999901E-2</c:v>
                </c:pt>
                <c:pt idx="10">
                  <c:v>-0.3</c:v>
                </c:pt>
                <c:pt idx="11">
                  <c:v>-0.15862744500000001</c:v>
                </c:pt>
              </c:numCache>
            </c:numRef>
          </c:val>
          <c:extLst>
            <c:ext xmlns:c16="http://schemas.microsoft.com/office/drawing/2014/chart" uri="{C3380CC4-5D6E-409C-BE32-E72D297353CC}">
              <c16:uniqueId val="{00000000-CE28-48F8-8271-316B34798C5B}"/>
            </c:ext>
          </c:extLst>
        </c:ser>
        <c:ser>
          <c:idx val="1"/>
          <c:order val="1"/>
          <c:tx>
            <c:strRef>
              <c:f>'Chart-Data'!$B$5</c:f>
              <c:strCache>
                <c:ptCount val="1"/>
                <c:pt idx="0">
                  <c:v>American Electric Power Service Corp</c:v>
                </c:pt>
              </c:strCache>
            </c:strRef>
          </c:tx>
          <c:invertIfNegative val="0"/>
          <c:val>
            <c:numRef>
              <c:f>'Chart-Data'!$DM$72:$DX$72</c:f>
              <c:numCache>
                <c:formatCode>_("$"* #,##0.00_);_("$"* \(#,##0.00\);_("$"* "-"??_);_(@_)</c:formatCode>
                <c:ptCount val="12"/>
                <c:pt idx="0">
                  <c:v>0</c:v>
                </c:pt>
                <c:pt idx="1">
                  <c:v>0</c:v>
                </c:pt>
                <c:pt idx="2">
                  <c:v>0</c:v>
                </c:pt>
                <c:pt idx="3">
                  <c:v>-1.7952399999999875E-4</c:v>
                </c:pt>
                <c:pt idx="4">
                  <c:v>-1.7952399999999875E-4</c:v>
                </c:pt>
                <c:pt idx="5">
                  <c:v>-1.7952399999999875E-4</c:v>
                </c:pt>
                <c:pt idx="6">
                  <c:v>-1.7952399999999875E-4</c:v>
                </c:pt>
                <c:pt idx="7">
                  <c:v>-1.7952399999999875E-4</c:v>
                </c:pt>
                <c:pt idx="8">
                  <c:v>-1.7952399999999875E-4</c:v>
                </c:pt>
                <c:pt idx="9">
                  <c:v>-1.7952399999999875E-4</c:v>
                </c:pt>
                <c:pt idx="10">
                  <c:v>-1.7952399999999875E-4</c:v>
                </c:pt>
                <c:pt idx="11">
                  <c:v>0.10947640000000003</c:v>
                </c:pt>
              </c:numCache>
            </c:numRef>
          </c:val>
          <c:extLst>
            <c:ext xmlns:c16="http://schemas.microsoft.com/office/drawing/2014/chart" uri="{C3380CC4-5D6E-409C-BE32-E72D297353CC}">
              <c16:uniqueId val="{00000001-CE28-48F8-8271-316B34798C5B}"/>
            </c:ext>
          </c:extLst>
        </c:ser>
        <c:dLbls>
          <c:showLegendKey val="0"/>
          <c:showVal val="0"/>
          <c:showCatName val="0"/>
          <c:showSerName val="0"/>
          <c:showPercent val="0"/>
          <c:showBubbleSize val="0"/>
        </c:dLbls>
        <c:gapWidth val="75"/>
        <c:overlap val="100"/>
        <c:axId val="482194480"/>
        <c:axId val="641970832"/>
      </c:barChart>
      <c:dateAx>
        <c:axId val="482194480"/>
        <c:scaling>
          <c:orientation val="minMax"/>
        </c:scaling>
        <c:delete val="0"/>
        <c:axPos val="b"/>
        <c:numFmt formatCode="[$-409]mmm\-yy;@" sourceLinked="0"/>
        <c:majorTickMark val="none"/>
        <c:minorTickMark val="none"/>
        <c:tickLblPos val="nextTo"/>
        <c:crossAx val="641970832"/>
        <c:crosses val="autoZero"/>
        <c:auto val="1"/>
        <c:lblOffset val="100"/>
        <c:baseTimeUnit val="months"/>
      </c:dateAx>
      <c:valAx>
        <c:axId val="641970832"/>
        <c:scaling>
          <c:orientation val="minMax"/>
          <c:max val="0.25"/>
          <c:min val="-0.9"/>
        </c:scaling>
        <c:delete val="0"/>
        <c:axPos val="r"/>
        <c:majorGridlines/>
        <c:numFmt formatCode="General" sourceLinked="0"/>
        <c:majorTickMark val="none"/>
        <c:minorTickMark val="none"/>
        <c:tickLblPos val="nextTo"/>
        <c:spPr>
          <a:ln w="9525">
            <a:noFill/>
          </a:ln>
        </c:spPr>
        <c:crossAx val="482194480"/>
        <c:crosses val="max"/>
        <c:crossBetween val="between"/>
        <c:majorUnit val="0.2"/>
        <c:minorUnit val="4.0000000000000008E-2"/>
      </c:valAx>
    </c:plotArea>
    <c:legend>
      <c:legendPos val="b"/>
      <c:overlay val="0"/>
    </c:legend>
    <c:plotVisOnly val="1"/>
    <c:dispBlanksAs val="gap"/>
    <c:showDLblsOverMax val="0"/>
  </c:chart>
  <c:spPr>
    <a:solidFill>
      <a:srgbClr val="FFFFCC"/>
    </a:solidFill>
  </c:spPr>
  <c:printSettings>
    <c:headerFooter/>
    <c:pageMargins b="0.75000000000000455" l="0.70000000000000062" r="0.70000000000000062" t="0.75000000000000455" header="0.30000000000000032" footer="0.30000000000000032"/>
    <c:pageSetup orientation="portrait"/>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n-US" sz="1600"/>
              <a:t>JP Morgan Chase NA</a:t>
            </a:r>
            <a:br>
              <a:rPr lang="en-US" sz="1600"/>
            </a:br>
            <a:r>
              <a:rPr lang="en-US" sz="1600" b="1" i="0" u="none" strike="noStrike" baseline="0"/>
              <a:t>($ Millions)</a:t>
            </a:r>
            <a:endParaRPr lang="en-US" sz="1600"/>
          </a:p>
        </c:rich>
      </c:tx>
      <c:overlay val="0"/>
    </c:title>
    <c:autoTitleDeleted val="0"/>
    <c:plotArea>
      <c:layout/>
      <c:barChart>
        <c:barDir val="col"/>
        <c:grouping val="clustered"/>
        <c:varyColors val="0"/>
        <c:ser>
          <c:idx val="0"/>
          <c:order val="0"/>
          <c:tx>
            <c:strRef>
              <c:f>'Chart-Data'!$B$7</c:f>
              <c:strCache>
                <c:ptCount val="1"/>
                <c:pt idx="0">
                  <c:v>JPMorgan Chase Bank, N.A.</c:v>
                </c:pt>
              </c:strCache>
            </c:strRef>
          </c:tx>
          <c:spPr>
            <a:solidFill>
              <a:schemeClr val="accent3">
                <a:lumMod val="75000"/>
              </a:schemeClr>
            </a:solidFill>
          </c:spPr>
          <c:invertIfNegative val="0"/>
          <c:cat>
            <c:numRef>
              <c:f>'Chart-Data'!$DM$70:$DX$70</c:f>
              <c:numCache>
                <c:formatCode>mmmyy</c:formatCode>
                <c:ptCount val="12"/>
                <c:pt idx="0">
                  <c:v>41773</c:v>
                </c:pt>
                <c:pt idx="1">
                  <c:v>41773</c:v>
                </c:pt>
                <c:pt idx="2">
                  <c:v>41773</c:v>
                </c:pt>
                <c:pt idx="3">
                  <c:v>41743</c:v>
                </c:pt>
                <c:pt idx="4">
                  <c:v>41712</c:v>
                </c:pt>
                <c:pt idx="5">
                  <c:v>41684</c:v>
                </c:pt>
                <c:pt idx="6">
                  <c:v>41653</c:v>
                </c:pt>
                <c:pt idx="7">
                  <c:v>41621</c:v>
                </c:pt>
                <c:pt idx="8">
                  <c:v>41591</c:v>
                </c:pt>
                <c:pt idx="9">
                  <c:v>41560</c:v>
                </c:pt>
                <c:pt idx="10">
                  <c:v>41530</c:v>
                </c:pt>
                <c:pt idx="11">
                  <c:v>41499</c:v>
                </c:pt>
              </c:numCache>
            </c:numRef>
          </c:cat>
          <c:val>
            <c:numRef>
              <c:f>'Chart-Data'!$DM$74:$DX$74</c:f>
              <c:numCache>
                <c:formatCode>_("$"* #,##0.00_);_("$"* \(#,##0.00\);_("$"* "-"??_);_(@_)</c:formatCode>
                <c:ptCount val="12"/>
                <c:pt idx="0">
                  <c:v>3.0709919999999999</c:v>
                </c:pt>
                <c:pt idx="1">
                  <c:v>0</c:v>
                </c:pt>
                <c:pt idx="2">
                  <c:v>0</c:v>
                </c:pt>
                <c:pt idx="3">
                  <c:v>3.0135725</c:v>
                </c:pt>
                <c:pt idx="4">
                  <c:v>2.9967290899999997</c:v>
                </c:pt>
                <c:pt idx="5">
                  <c:v>3.1682481600000001</c:v>
                </c:pt>
                <c:pt idx="6">
                  <c:v>3.20344213</c:v>
                </c:pt>
                <c:pt idx="7">
                  <c:v>3.0833353199999998</c:v>
                </c:pt>
                <c:pt idx="8">
                  <c:v>3.3247342599999996</c:v>
                </c:pt>
                <c:pt idx="9">
                  <c:v>3.4584720600000001</c:v>
                </c:pt>
                <c:pt idx="10">
                  <c:v>3.43198479</c:v>
                </c:pt>
                <c:pt idx="11">
                  <c:v>3.29002018</c:v>
                </c:pt>
              </c:numCache>
            </c:numRef>
          </c:val>
          <c:extLst>
            <c:ext xmlns:c16="http://schemas.microsoft.com/office/drawing/2014/chart" uri="{C3380CC4-5D6E-409C-BE32-E72D297353CC}">
              <c16:uniqueId val="{00000000-4E0C-4E1E-8FB6-B791CD830EB9}"/>
            </c:ext>
          </c:extLst>
        </c:ser>
        <c:dLbls>
          <c:showLegendKey val="0"/>
          <c:showVal val="0"/>
          <c:showCatName val="0"/>
          <c:showSerName val="0"/>
          <c:showPercent val="0"/>
          <c:showBubbleSize val="0"/>
        </c:dLbls>
        <c:gapWidth val="150"/>
        <c:axId val="137167280"/>
        <c:axId val="137167672"/>
      </c:barChart>
      <c:dateAx>
        <c:axId val="137167280"/>
        <c:scaling>
          <c:orientation val="minMax"/>
        </c:scaling>
        <c:delete val="0"/>
        <c:axPos val="b"/>
        <c:numFmt formatCode="[$-409]mmm\-yy;@" sourceLinked="0"/>
        <c:majorTickMark val="out"/>
        <c:minorTickMark val="none"/>
        <c:tickLblPos val="nextTo"/>
        <c:txPr>
          <a:bodyPr/>
          <a:lstStyle/>
          <a:p>
            <a:pPr>
              <a:defRPr sz="1200"/>
            </a:pPr>
            <a:endParaRPr lang="en-US"/>
          </a:p>
        </c:txPr>
        <c:crossAx val="137167672"/>
        <c:crosses val="autoZero"/>
        <c:auto val="1"/>
        <c:lblOffset val="100"/>
        <c:baseTimeUnit val="months"/>
      </c:dateAx>
      <c:valAx>
        <c:axId val="137167672"/>
        <c:scaling>
          <c:orientation val="minMax"/>
          <c:min val="0"/>
        </c:scaling>
        <c:delete val="0"/>
        <c:axPos val="r"/>
        <c:majorGridlines/>
        <c:title>
          <c:tx>
            <c:rich>
              <a:bodyPr rot="-5400000" vert="horz"/>
              <a:lstStyle/>
              <a:p>
                <a:pPr>
                  <a:defRPr/>
                </a:pPr>
                <a:r>
                  <a:rPr lang="en-US" sz="1400" b="1" i="0" baseline="0"/>
                  <a:t>Termination Value</a:t>
                </a:r>
                <a:endParaRPr lang="en-US" sz="1400"/>
              </a:p>
            </c:rich>
          </c:tx>
          <c:overlay val="0"/>
        </c:title>
        <c:numFmt formatCode="&quot;$&quot;#,##0" sourceLinked="0"/>
        <c:majorTickMark val="out"/>
        <c:minorTickMark val="none"/>
        <c:tickLblPos val="nextTo"/>
        <c:txPr>
          <a:bodyPr/>
          <a:lstStyle/>
          <a:p>
            <a:pPr>
              <a:defRPr sz="1400"/>
            </a:pPr>
            <a:endParaRPr lang="en-US"/>
          </a:p>
        </c:txPr>
        <c:crossAx val="137167280"/>
        <c:crosses val="max"/>
        <c:crossBetween val="between"/>
      </c:valAx>
    </c:plotArea>
    <c:plotVisOnly val="1"/>
    <c:dispBlanksAs val="gap"/>
    <c:showDLblsOverMax val="0"/>
  </c:chart>
  <c:spPr>
    <a:solidFill>
      <a:srgbClr val="FFFFCC"/>
    </a:solidFill>
  </c:spPr>
  <c:printSettings>
    <c:headerFooter/>
    <c:pageMargins b="0.750000000000005" l="0.70000000000000062" r="0.70000000000000062" t="0.750000000000005"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n-US" sz="1600"/>
              <a:t>Loop Financial Products, LLC</a:t>
            </a:r>
            <a:br>
              <a:rPr lang="en-US" sz="1600"/>
            </a:br>
            <a:r>
              <a:rPr lang="en-US" sz="1600" b="1" i="0" u="none" strike="noStrike" baseline="0"/>
              <a:t>($ Millions)</a:t>
            </a:r>
            <a:endParaRPr lang="en-US" sz="1600"/>
          </a:p>
        </c:rich>
      </c:tx>
      <c:overlay val="0"/>
    </c:title>
    <c:autoTitleDeleted val="0"/>
    <c:plotArea>
      <c:layout/>
      <c:barChart>
        <c:barDir val="col"/>
        <c:grouping val="clustered"/>
        <c:varyColors val="0"/>
        <c:ser>
          <c:idx val="0"/>
          <c:order val="0"/>
          <c:tx>
            <c:strRef>
              <c:f>'Chart-Data'!$B$8</c:f>
              <c:strCache>
                <c:ptCount val="1"/>
                <c:pt idx="0">
                  <c:v>Loop Financial Products I LLC</c:v>
                </c:pt>
              </c:strCache>
            </c:strRef>
          </c:tx>
          <c:spPr>
            <a:solidFill>
              <a:schemeClr val="accent4">
                <a:lumMod val="75000"/>
              </a:schemeClr>
            </a:solidFill>
          </c:spPr>
          <c:invertIfNegative val="0"/>
          <c:cat>
            <c:numRef>
              <c:f>'Chart-Data'!$DM$70:$DX$70</c:f>
              <c:numCache>
                <c:formatCode>mmmyy</c:formatCode>
                <c:ptCount val="12"/>
                <c:pt idx="0">
                  <c:v>41773</c:v>
                </c:pt>
                <c:pt idx="1">
                  <c:v>41773</c:v>
                </c:pt>
                <c:pt idx="2">
                  <c:v>41773</c:v>
                </c:pt>
                <c:pt idx="3">
                  <c:v>41743</c:v>
                </c:pt>
                <c:pt idx="4">
                  <c:v>41712</c:v>
                </c:pt>
                <c:pt idx="5">
                  <c:v>41684</c:v>
                </c:pt>
                <c:pt idx="6">
                  <c:v>41653</c:v>
                </c:pt>
                <c:pt idx="7">
                  <c:v>41621</c:v>
                </c:pt>
                <c:pt idx="8">
                  <c:v>41591</c:v>
                </c:pt>
                <c:pt idx="9">
                  <c:v>41560</c:v>
                </c:pt>
                <c:pt idx="10">
                  <c:v>41530</c:v>
                </c:pt>
                <c:pt idx="11">
                  <c:v>41499</c:v>
                </c:pt>
              </c:numCache>
            </c:numRef>
          </c:cat>
          <c:val>
            <c:numRef>
              <c:f>'Chart-Data'!$DM$75:$DX$75</c:f>
              <c:numCache>
                <c:formatCode>_("$"* #,##0.00_);_("$"* \(#,##0.00\);_("$"* "-"??_);_(@_)</c:formatCode>
                <c:ptCount val="12"/>
                <c:pt idx="0">
                  <c:v>4.7187799999999998</c:v>
                </c:pt>
                <c:pt idx="1">
                  <c:v>0</c:v>
                </c:pt>
                <c:pt idx="2">
                  <c:v>0</c:v>
                </c:pt>
                <c:pt idx="3">
                  <c:v>4.4887825499999998</c:v>
                </c:pt>
                <c:pt idx="4">
                  <c:v>4.34756768</c:v>
                </c:pt>
                <c:pt idx="5">
                  <c:v>4.5967950100000001</c:v>
                </c:pt>
                <c:pt idx="6">
                  <c:v>4.5403205499999997</c:v>
                </c:pt>
                <c:pt idx="7">
                  <c:v>4.1440536400000001</c:v>
                </c:pt>
                <c:pt idx="8">
                  <c:v>4.63459588</c:v>
                </c:pt>
                <c:pt idx="9">
                  <c:v>4.8817685400000004</c:v>
                </c:pt>
                <c:pt idx="10">
                  <c:v>4.7543476799999995</c:v>
                </c:pt>
                <c:pt idx="11">
                  <c:v>4.4769954299999997</c:v>
                </c:pt>
              </c:numCache>
            </c:numRef>
          </c:val>
          <c:extLst>
            <c:ext xmlns:c16="http://schemas.microsoft.com/office/drawing/2014/chart" uri="{C3380CC4-5D6E-409C-BE32-E72D297353CC}">
              <c16:uniqueId val="{00000000-F48F-429D-BB26-29F8C3E89FBF}"/>
            </c:ext>
          </c:extLst>
        </c:ser>
        <c:dLbls>
          <c:showLegendKey val="0"/>
          <c:showVal val="0"/>
          <c:showCatName val="0"/>
          <c:showSerName val="0"/>
          <c:showPercent val="0"/>
          <c:showBubbleSize val="0"/>
        </c:dLbls>
        <c:gapWidth val="150"/>
        <c:axId val="137168456"/>
        <c:axId val="470279784"/>
      </c:barChart>
      <c:dateAx>
        <c:axId val="137168456"/>
        <c:scaling>
          <c:orientation val="minMax"/>
        </c:scaling>
        <c:delete val="0"/>
        <c:axPos val="b"/>
        <c:numFmt formatCode="[$-409]mmm\-yy;@" sourceLinked="0"/>
        <c:majorTickMark val="out"/>
        <c:minorTickMark val="none"/>
        <c:tickLblPos val="nextTo"/>
        <c:txPr>
          <a:bodyPr rot="-2460000"/>
          <a:lstStyle/>
          <a:p>
            <a:pPr>
              <a:defRPr sz="1200"/>
            </a:pPr>
            <a:endParaRPr lang="en-US"/>
          </a:p>
        </c:txPr>
        <c:crossAx val="470279784"/>
        <c:crosses val="autoZero"/>
        <c:auto val="1"/>
        <c:lblOffset val="100"/>
        <c:baseTimeUnit val="months"/>
      </c:dateAx>
      <c:valAx>
        <c:axId val="470279784"/>
        <c:scaling>
          <c:orientation val="minMax"/>
          <c:min val="0"/>
        </c:scaling>
        <c:delete val="0"/>
        <c:axPos val="r"/>
        <c:majorGridlines/>
        <c:title>
          <c:tx>
            <c:rich>
              <a:bodyPr rot="-5400000" vert="horz"/>
              <a:lstStyle/>
              <a:p>
                <a:pPr>
                  <a:defRPr/>
                </a:pPr>
                <a:r>
                  <a:rPr lang="en-US" sz="1400" b="1" i="0" baseline="0"/>
                  <a:t>Termination Value</a:t>
                </a:r>
                <a:endParaRPr lang="en-US" sz="1400"/>
              </a:p>
            </c:rich>
          </c:tx>
          <c:overlay val="0"/>
        </c:title>
        <c:numFmt formatCode="&quot;$&quot;#,##0" sourceLinked="0"/>
        <c:majorTickMark val="out"/>
        <c:minorTickMark val="none"/>
        <c:tickLblPos val="nextTo"/>
        <c:txPr>
          <a:bodyPr/>
          <a:lstStyle/>
          <a:p>
            <a:pPr>
              <a:defRPr sz="1400"/>
            </a:pPr>
            <a:endParaRPr lang="en-US"/>
          </a:p>
        </c:txPr>
        <c:crossAx val="137168456"/>
        <c:crosses val="max"/>
        <c:crossBetween val="between"/>
      </c:valAx>
    </c:plotArea>
    <c:plotVisOnly val="1"/>
    <c:dispBlanksAs val="gap"/>
    <c:showDLblsOverMax val="0"/>
  </c:chart>
  <c:spPr>
    <a:solidFill>
      <a:srgbClr val="FFFFCC"/>
    </a:solidFill>
  </c:spPr>
  <c:printSettings>
    <c:headerFooter/>
    <c:pageMargins b="0.75000000000000477" l="0.70000000000000062" r="0.70000000000000062" t="0.75000000000000477" header="0.30000000000000032" footer="0.30000000000000032"/>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2.xml"/><Relationship Id="rId3" Type="http://schemas.openxmlformats.org/officeDocument/2006/relationships/chart" Target="../charts/chart7.xml"/><Relationship Id="rId7" Type="http://schemas.openxmlformats.org/officeDocument/2006/relationships/chart" Target="../charts/chart11.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22</xdr:col>
      <xdr:colOff>21165</xdr:colOff>
      <xdr:row>88</xdr:row>
      <xdr:rowOff>0</xdr:rowOff>
    </xdr:from>
    <xdr:to>
      <xdr:col>32</xdr:col>
      <xdr:colOff>222250</xdr:colOff>
      <xdr:row>113</xdr:row>
      <xdr:rowOff>42333</xdr:rowOff>
    </xdr:to>
    <xdr:graphicFrame macro="">
      <xdr:nvGraphicFramePr>
        <xdr:cNvPr id="6" name="Chart 5">
          <a:extLst>
            <a:ext uri="{FF2B5EF4-FFF2-40B4-BE49-F238E27FC236}">
              <a16:creationId xmlns:a16="http://schemas.microsoft.com/office/drawing/2014/main" id="{00000000-0008-0000-0000-000006000000}"/>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610655</xdr:colOff>
      <xdr:row>115</xdr:row>
      <xdr:rowOff>31749</xdr:rowOff>
    </xdr:from>
    <xdr:to>
      <xdr:col>32</xdr:col>
      <xdr:colOff>201083</xdr:colOff>
      <xdr:row>140</xdr:row>
      <xdr:rowOff>21166</xdr:rowOff>
    </xdr:to>
    <xdr:graphicFrame macro="">
      <xdr:nvGraphicFramePr>
        <xdr:cNvPr id="7" name="Chart 6">
          <a:extLst>
            <a:ext uri="{FF2B5EF4-FFF2-40B4-BE49-F238E27FC236}">
              <a16:creationId xmlns:a16="http://schemas.microsoft.com/office/drawing/2014/main" id="{00000000-0008-0000-0000-000007000000}"/>
            </a:ext>
            <a:ext uri="{C183D7F6-B498-43B3-948B-1728B52AA6E4}">
              <adec:decorative xmlns:adec="http://schemas.microsoft.com/office/drawing/2017/decorative" val="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52916</xdr:colOff>
      <xdr:row>25</xdr:row>
      <xdr:rowOff>7408</xdr:rowOff>
    </xdr:from>
    <xdr:to>
      <xdr:col>7</xdr:col>
      <xdr:colOff>889000</xdr:colOff>
      <xdr:row>45</xdr:row>
      <xdr:rowOff>49742</xdr:rowOff>
    </xdr:to>
    <xdr:graphicFrame macro="">
      <xdr:nvGraphicFramePr>
        <xdr:cNvPr id="8" name="Chart 7" descr="Total NTE Derivative Agreements from Feb 2021 to Nov 2021. Million dollars depicted by stacked bar graph with legends such as JPM, BP, Shell, LOOP, Direct Energy, Rail Splitter, Morgan Stanley, AEP, Phoenix Solar SF, StoneX, Exelon, Northern Cardinal Solar, EDF Energy Svcs, TransAlta.">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63500</xdr:colOff>
      <xdr:row>24</xdr:row>
      <xdr:rowOff>10583</xdr:rowOff>
    </xdr:from>
    <xdr:to>
      <xdr:col>12</xdr:col>
      <xdr:colOff>1022347</xdr:colOff>
      <xdr:row>45</xdr:row>
      <xdr:rowOff>74083</xdr:rowOff>
    </xdr:to>
    <xdr:graphicFrame macro="">
      <xdr:nvGraphicFramePr>
        <xdr:cNvPr id="9" name="Chart 8" descr="Current notional - Counterparty concentration. JPM at 3%, LOOP at 15%, Morgan Stanley at 20%, StoneX at 17%, EDF Energy Svcs at 3%, BP at 13%, Direct Energy at 1%, AEP at 0%, Exelon at 0%, TransAlta at 0%, Shell at 3%, Rail Splitter at 4%, Phoenix Solar SF at 5% and Northern Cardinal Solar at 16%.">
          <a:extLst>
            <a:ext uri="{FF2B5EF4-FFF2-40B4-BE49-F238E27FC236}">
              <a16:creationId xmlns:a16="http://schemas.microsoft.com/office/drawing/2014/main" id="{00000000-0008-0000-00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cdr:x>
      <cdr:y>2.44156E-7</cdr:y>
    </cdr:from>
    <cdr:to>
      <cdr:x>1</cdr:x>
      <cdr:y>0.0646</cdr:y>
    </cdr:to>
    <cdr:sp macro="" textlink="">
      <cdr:nvSpPr>
        <cdr:cNvPr id="2" name="TextBox 1"/>
        <cdr:cNvSpPr txBox="1"/>
      </cdr:nvSpPr>
      <cdr:spPr>
        <a:xfrm xmlns:a="http://schemas.openxmlformats.org/drawingml/2006/main">
          <a:off x="0" y="1"/>
          <a:ext cx="3869264" cy="264582"/>
        </a:xfrm>
        <a:prstGeom xmlns:a="http://schemas.openxmlformats.org/drawingml/2006/main" prst="rect">
          <a:avLst/>
        </a:prstGeom>
        <a:solidFill xmlns:a="http://schemas.openxmlformats.org/drawingml/2006/main">
          <a:schemeClr val="tx2">
            <a:lumMod val="75000"/>
          </a:schemeClr>
        </a:solidFill>
      </cdr:spPr>
      <cdr:txBody>
        <a:bodyPr xmlns:a="http://schemas.openxmlformats.org/drawingml/2006/main" vertOverflow="clip" wrap="none" rtlCol="0" anchor="ctr"/>
        <a:lstStyle xmlns:a="http://schemas.openxmlformats.org/drawingml/2006/main"/>
        <a:p xmlns:a="http://schemas.openxmlformats.org/drawingml/2006/main">
          <a:pPr algn="ctr"/>
          <a:r>
            <a:rPr lang="en-US" sz="1200" b="1">
              <a:solidFill>
                <a:schemeClr val="bg1"/>
              </a:solidFill>
              <a:effectLst/>
              <a:latin typeface="+mn-lt"/>
              <a:ea typeface="+mn-ea"/>
              <a:cs typeface="+mn-cs"/>
            </a:rPr>
            <a:t>Current Notional - </a:t>
          </a:r>
          <a:r>
            <a:rPr lang="en-US" sz="1200" b="1">
              <a:solidFill>
                <a:schemeClr val="bg1"/>
              </a:solidFill>
            </a:rPr>
            <a:t>Counterparty Concentration</a:t>
          </a:r>
        </a:p>
      </cdr:txBody>
    </cdr:sp>
  </cdr:relSizeAnchor>
</c:userShapes>
</file>

<file path=xl/drawings/drawing3.xml><?xml version="1.0" encoding="utf-8"?>
<xdr:wsDr xmlns:xdr="http://schemas.openxmlformats.org/drawingml/2006/spreadsheetDrawing" xmlns:a="http://schemas.openxmlformats.org/drawingml/2006/main">
  <xdr:twoCellAnchor>
    <xdr:from>
      <xdr:col>8</xdr:col>
      <xdr:colOff>703204</xdr:colOff>
      <xdr:row>50</xdr:row>
      <xdr:rowOff>88692</xdr:rowOff>
    </xdr:from>
    <xdr:to>
      <xdr:col>12</xdr:col>
      <xdr:colOff>1200150</xdr:colOff>
      <xdr:row>71</xdr:row>
      <xdr:rowOff>666750</xdr:rowOff>
    </xdr:to>
    <xdr:graphicFrame macro="">
      <xdr:nvGraphicFramePr>
        <xdr:cNvPr id="10" name="TNot">
          <a:extLst>
            <a:ext uri="{FF2B5EF4-FFF2-40B4-BE49-F238E27FC236}">
              <a16:creationId xmlns:a16="http://schemas.microsoft.com/office/drawing/2014/main" id="{00000000-0008-0000-05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724333</xdr:colOff>
      <xdr:row>1</xdr:row>
      <xdr:rowOff>132494</xdr:rowOff>
    </xdr:from>
    <xdr:to>
      <xdr:col>12</xdr:col>
      <xdr:colOff>1218871</xdr:colOff>
      <xdr:row>49</xdr:row>
      <xdr:rowOff>132494</xdr:rowOff>
    </xdr:to>
    <xdr:graphicFrame macro="">
      <xdr:nvGraphicFramePr>
        <xdr:cNvPr id="11" name="TTerm">
          <a:extLst>
            <a:ext uri="{FF2B5EF4-FFF2-40B4-BE49-F238E27FC236}">
              <a16:creationId xmlns:a16="http://schemas.microsoft.com/office/drawing/2014/main" id="{00000000-0008-0000-05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1792055</xdr:colOff>
      <xdr:row>34</xdr:row>
      <xdr:rowOff>44035</xdr:rowOff>
    </xdr:from>
    <xdr:to>
      <xdr:col>8</xdr:col>
      <xdr:colOff>570569</xdr:colOff>
      <xdr:row>65</xdr:row>
      <xdr:rowOff>215485</xdr:rowOff>
    </xdr:to>
    <xdr:graphicFrame macro="">
      <xdr:nvGraphicFramePr>
        <xdr:cNvPr id="12" name="AEP">
          <a:extLst>
            <a:ext uri="{FF2B5EF4-FFF2-40B4-BE49-F238E27FC236}">
              <a16:creationId xmlns:a16="http://schemas.microsoft.com/office/drawing/2014/main" id="{00000000-0008-0000-05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137194</xdr:colOff>
      <xdr:row>1</xdr:row>
      <xdr:rowOff>98099</xdr:rowOff>
    </xdr:from>
    <xdr:to>
      <xdr:col>3</xdr:col>
      <xdr:colOff>1699878</xdr:colOff>
      <xdr:row>33</xdr:row>
      <xdr:rowOff>98099</xdr:rowOff>
    </xdr:to>
    <xdr:graphicFrame macro="">
      <xdr:nvGraphicFramePr>
        <xdr:cNvPr id="13" name="JP">
          <a:extLst>
            <a:ext uri="{FF2B5EF4-FFF2-40B4-BE49-F238E27FC236}">
              <a16:creationId xmlns:a16="http://schemas.microsoft.com/office/drawing/2014/main" id="{00000000-0008-0000-05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117880</xdr:colOff>
      <xdr:row>34</xdr:row>
      <xdr:rowOff>53491</xdr:rowOff>
    </xdr:from>
    <xdr:to>
      <xdr:col>3</xdr:col>
      <xdr:colOff>1677694</xdr:colOff>
      <xdr:row>65</xdr:row>
      <xdr:rowOff>224941</xdr:rowOff>
    </xdr:to>
    <xdr:graphicFrame macro="">
      <xdr:nvGraphicFramePr>
        <xdr:cNvPr id="14" name="LP">
          <a:extLst>
            <a:ext uri="{FF2B5EF4-FFF2-40B4-BE49-F238E27FC236}">
              <a16:creationId xmlns:a16="http://schemas.microsoft.com/office/drawing/2014/main" id="{00000000-0008-0000-05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114300</xdr:colOff>
      <xdr:row>66</xdr:row>
      <xdr:rowOff>118200</xdr:rowOff>
    </xdr:from>
    <xdr:to>
      <xdr:col>3</xdr:col>
      <xdr:colOff>1674114</xdr:colOff>
      <xdr:row>71</xdr:row>
      <xdr:rowOff>670650</xdr:rowOff>
    </xdr:to>
    <xdr:graphicFrame macro="">
      <xdr:nvGraphicFramePr>
        <xdr:cNvPr id="15" name="MS">
          <a:extLst>
            <a:ext uri="{FF2B5EF4-FFF2-40B4-BE49-F238E27FC236}">
              <a16:creationId xmlns:a16="http://schemas.microsoft.com/office/drawing/2014/main" id="{00000000-0008-0000-05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1812306</xdr:colOff>
      <xdr:row>1</xdr:row>
      <xdr:rowOff>112020</xdr:rowOff>
    </xdr:from>
    <xdr:to>
      <xdr:col>8</xdr:col>
      <xdr:colOff>590820</xdr:colOff>
      <xdr:row>33</xdr:row>
      <xdr:rowOff>112020</xdr:rowOff>
    </xdr:to>
    <xdr:graphicFrame macro="">
      <xdr:nvGraphicFramePr>
        <xdr:cNvPr id="16" name="SQ">
          <a:extLst>
            <a:ext uri="{FF2B5EF4-FFF2-40B4-BE49-F238E27FC236}">
              <a16:creationId xmlns:a16="http://schemas.microsoft.com/office/drawing/2014/main" id="{00000000-0008-0000-05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1790304</xdr:colOff>
      <xdr:row>66</xdr:row>
      <xdr:rowOff>118627</xdr:rowOff>
    </xdr:from>
    <xdr:to>
      <xdr:col>8</xdr:col>
      <xdr:colOff>568818</xdr:colOff>
      <xdr:row>71</xdr:row>
      <xdr:rowOff>671077</xdr:rowOff>
    </xdr:to>
    <xdr:graphicFrame macro="">
      <xdr:nvGraphicFramePr>
        <xdr:cNvPr id="17" name="TX">
          <a:extLst>
            <a:ext uri="{FF2B5EF4-FFF2-40B4-BE49-F238E27FC236}">
              <a16:creationId xmlns:a16="http://schemas.microsoft.com/office/drawing/2014/main" id="{00000000-0008-0000-05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mc:AlternateContent xmlns:mc="http://schemas.openxmlformats.org/markup-compatibility/2006">
    <mc:Choice xmlns:a14="http://schemas.microsoft.com/office/drawing/2010/main" Requires="a14">
      <xdr:twoCellAnchor>
        <xdr:from>
          <xdr:col>0</xdr:col>
          <xdr:colOff>1257300</xdr:colOff>
          <xdr:row>0</xdr:row>
          <xdr:rowOff>0</xdr:rowOff>
        </xdr:from>
        <xdr:to>
          <xdr:col>0</xdr:col>
          <xdr:colOff>1333500</xdr:colOff>
          <xdr:row>0</xdr:row>
          <xdr:rowOff>53340</xdr:rowOff>
        </xdr:to>
        <xdr:sp macro="" textlink="">
          <xdr:nvSpPr>
            <xdr:cNvPr id="70657" name="Button 1" hidden="1">
              <a:extLst>
                <a:ext uri="{63B3BB69-23CF-44E3-9099-C40C66FF867C}">
                  <a14:compatExt spid="_x0000_s70657"/>
                </a:ext>
                <a:ext uri="{FF2B5EF4-FFF2-40B4-BE49-F238E27FC236}">
                  <a16:creationId xmlns:a16="http://schemas.microsoft.com/office/drawing/2014/main" id="{00000000-0008-0000-0500-0000011401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0" i="0" u="none" strike="noStrike" baseline="0">
                  <a:solidFill>
                    <a:srgbClr val="000000"/>
                  </a:solidFill>
                  <a:latin typeface="Arial"/>
                  <a:cs typeface="Arial"/>
                </a:rPr>
                <a:t>RunReport</a:t>
              </a:r>
            </a:p>
          </xdr:txBody>
        </xdr:sp>
        <xdr:clientData fPrintsWithSheet="0"/>
      </xdr:twoCellAnchor>
    </mc:Choice>
    <mc:Fallback/>
  </mc:AlternateContent>
</xdr:wsDr>
</file>

<file path=xl/drawings/drawing4.xml><?xml version="1.0" encoding="utf-8"?>
<c:userShapes xmlns:c="http://schemas.openxmlformats.org/drawingml/2006/chart">
  <cdr:relSizeAnchor xmlns:cdr="http://schemas.openxmlformats.org/drawingml/2006/chartDrawing">
    <cdr:from>
      <cdr:x>0.30399</cdr:x>
      <cdr:y>0.2198</cdr:y>
    </cdr:from>
    <cdr:to>
      <cdr:x>0.72162</cdr:x>
      <cdr:y>0.31286</cdr:y>
    </cdr:to>
    <cdr:sp macro="" textlink="">
      <cdr:nvSpPr>
        <cdr:cNvPr id="2" name="TextBox 1"/>
        <cdr:cNvSpPr txBox="1"/>
      </cdr:nvSpPr>
      <cdr:spPr>
        <a:xfrm xmlns:a="http://schemas.openxmlformats.org/drawingml/2006/main">
          <a:off x="1955800" y="723900"/>
          <a:ext cx="2686851" cy="30649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1200" b="1" i="1"/>
            <a:t>$10 million Univ. guarantee</a:t>
          </a:r>
          <a:r>
            <a:rPr lang="en-US" sz="1200" b="1" i="1" baseline="0"/>
            <a:t> limit</a:t>
          </a:r>
          <a:endParaRPr lang="en-US" sz="1200" b="1" i="1"/>
        </a:p>
      </cdr:txBody>
    </cdr:sp>
  </cdr:relSizeAnchor>
</c:userShapes>
</file>

<file path=xl/drawings/drawing5.xml><?xml version="1.0" encoding="utf-8"?>
<c:userShapes xmlns:c="http://schemas.openxmlformats.org/drawingml/2006/chart">
  <cdr:relSizeAnchor xmlns:cdr="http://schemas.openxmlformats.org/drawingml/2006/chartDrawing">
    <cdr:from>
      <cdr:x>0.34483</cdr:x>
      <cdr:y>0.20139</cdr:y>
    </cdr:from>
    <cdr:to>
      <cdr:x>0.76119</cdr:x>
      <cdr:y>0.27446</cdr:y>
    </cdr:to>
    <cdr:sp macro="" textlink="">
      <cdr:nvSpPr>
        <cdr:cNvPr id="3" name="TextBox 2"/>
        <cdr:cNvSpPr txBox="1"/>
      </cdr:nvSpPr>
      <cdr:spPr>
        <a:xfrm xmlns:a="http://schemas.openxmlformats.org/drawingml/2006/main">
          <a:off x="2020189" y="672282"/>
          <a:ext cx="2439329" cy="24393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0.27952</cdr:x>
      <cdr:y>0.22574</cdr:y>
    </cdr:from>
    <cdr:to>
      <cdr:x>0.69787</cdr:x>
      <cdr:y>0.31621</cdr:y>
    </cdr:to>
    <cdr:sp macro="" textlink="">
      <cdr:nvSpPr>
        <cdr:cNvPr id="4" name="TextBox 3"/>
        <cdr:cNvSpPr txBox="1"/>
      </cdr:nvSpPr>
      <cdr:spPr>
        <a:xfrm xmlns:a="http://schemas.openxmlformats.org/drawingml/2006/main">
          <a:off x="1795194" y="764769"/>
          <a:ext cx="2686851" cy="30649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1200" b="1" i="1"/>
            <a:t>$35 million Univ. guarantee</a:t>
          </a:r>
          <a:r>
            <a:rPr lang="en-US" sz="1200" b="1" i="1" baseline="0"/>
            <a:t> limit</a:t>
          </a:r>
          <a:endParaRPr lang="en-US" sz="1200" b="1" i="1"/>
        </a:p>
      </cdr:txBody>
    </cdr:sp>
  </cdr:relSizeAnchor>
</c:userShapes>
</file>

<file path=xl/drawings/drawing6.xml><?xml version="1.0" encoding="utf-8"?>
<xdr:wsDr xmlns:xdr="http://schemas.openxmlformats.org/drawingml/2006/spreadsheetDrawing" xmlns:a="http://schemas.openxmlformats.org/drawingml/2006/main">
  <xdr:twoCellAnchor>
    <xdr:from>
      <xdr:col>2</xdr:col>
      <xdr:colOff>1038225</xdr:colOff>
      <xdr:row>4</xdr:row>
      <xdr:rowOff>0</xdr:rowOff>
    </xdr:from>
    <xdr:to>
      <xdr:col>6</xdr:col>
      <xdr:colOff>533400</xdr:colOff>
      <xdr:row>23</xdr:row>
      <xdr:rowOff>162699</xdr:rowOff>
    </xdr:to>
    <xdr:grpSp>
      <xdr:nvGrpSpPr>
        <xdr:cNvPr id="2" name="Group 1">
          <a:extLst>
            <a:ext uri="{FF2B5EF4-FFF2-40B4-BE49-F238E27FC236}">
              <a16:creationId xmlns:a16="http://schemas.microsoft.com/office/drawing/2014/main" id="{00000000-0008-0000-3000-000002000000}"/>
            </a:ext>
          </a:extLst>
        </xdr:cNvPr>
        <xdr:cNvGrpSpPr/>
      </xdr:nvGrpSpPr>
      <xdr:grpSpPr>
        <a:xfrm>
          <a:off x="3499485" y="815340"/>
          <a:ext cx="4250055" cy="3637419"/>
          <a:chOff x="1219200" y="866001"/>
          <a:chExt cx="4724400" cy="3782199"/>
        </a:xfrm>
      </xdr:grpSpPr>
      <xdr:sp macro="" textlink="">
        <xdr:nvSpPr>
          <xdr:cNvPr id="3" name="Rectangle 2">
            <a:extLst>
              <a:ext uri="{FF2B5EF4-FFF2-40B4-BE49-F238E27FC236}">
                <a16:creationId xmlns:a16="http://schemas.microsoft.com/office/drawing/2014/main" id="{00000000-0008-0000-3000-000003000000}"/>
              </a:ext>
            </a:extLst>
          </xdr:cNvPr>
          <xdr:cNvSpPr/>
        </xdr:nvSpPr>
        <xdr:spPr>
          <a:xfrm>
            <a:off x="1219200" y="990600"/>
            <a:ext cx="1524000" cy="6096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US" sz="1400"/>
              <a:t>Treasury</a:t>
            </a:r>
          </a:p>
        </xdr:txBody>
      </xdr:sp>
      <xdr:sp macro="" textlink="">
        <xdr:nvSpPr>
          <xdr:cNvPr id="4" name="Rectangle 3">
            <a:extLst>
              <a:ext uri="{FF2B5EF4-FFF2-40B4-BE49-F238E27FC236}">
                <a16:creationId xmlns:a16="http://schemas.microsoft.com/office/drawing/2014/main" id="{00000000-0008-0000-3000-000004000000}"/>
              </a:ext>
            </a:extLst>
          </xdr:cNvPr>
          <xdr:cNvSpPr/>
        </xdr:nvSpPr>
        <xdr:spPr>
          <a:xfrm>
            <a:off x="1219200" y="2514600"/>
            <a:ext cx="1524000" cy="6096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r>
              <a:rPr lang="en-US" sz="1400" kern="1200">
                <a:solidFill>
                  <a:schemeClr val="lt1"/>
                </a:solidFill>
                <a:latin typeface="+mn-lt"/>
                <a:ea typeface="+mn-ea"/>
                <a:cs typeface="+mn-cs"/>
              </a:rPr>
              <a:t>International Studies Program</a:t>
            </a:r>
          </a:p>
        </xdr:txBody>
      </xdr:sp>
      <xdr:sp macro="" textlink="">
        <xdr:nvSpPr>
          <xdr:cNvPr id="5" name="Rectangle 4">
            <a:extLst>
              <a:ext uri="{FF2B5EF4-FFF2-40B4-BE49-F238E27FC236}">
                <a16:creationId xmlns:a16="http://schemas.microsoft.com/office/drawing/2014/main" id="{00000000-0008-0000-3000-000005000000}"/>
              </a:ext>
            </a:extLst>
          </xdr:cNvPr>
          <xdr:cNvSpPr/>
        </xdr:nvSpPr>
        <xdr:spPr>
          <a:xfrm>
            <a:off x="1219200" y="4038600"/>
            <a:ext cx="1524000" cy="6096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r>
              <a:rPr lang="en-US" sz="1400" kern="1200">
                <a:solidFill>
                  <a:schemeClr val="lt1"/>
                </a:solidFill>
                <a:latin typeface="+mn-lt"/>
                <a:ea typeface="+mn-ea"/>
                <a:cs typeface="+mn-cs"/>
              </a:rPr>
              <a:t>European Union Center</a:t>
            </a:r>
          </a:p>
        </xdr:txBody>
      </xdr:sp>
      <xdr:cxnSp macro="">
        <xdr:nvCxnSpPr>
          <xdr:cNvPr id="6" name="Straight Arrow Connector 5">
            <a:extLst>
              <a:ext uri="{FF2B5EF4-FFF2-40B4-BE49-F238E27FC236}">
                <a16:creationId xmlns:a16="http://schemas.microsoft.com/office/drawing/2014/main" id="{00000000-0008-0000-3000-000006000000}"/>
              </a:ext>
            </a:extLst>
          </xdr:cNvPr>
          <xdr:cNvCxnSpPr/>
        </xdr:nvCxnSpPr>
        <xdr:spPr>
          <a:xfrm rot="5400000" flipH="1" flipV="1">
            <a:off x="990600" y="3581400"/>
            <a:ext cx="914400"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7" name="Straight Arrow Connector 6">
            <a:extLst>
              <a:ext uri="{FF2B5EF4-FFF2-40B4-BE49-F238E27FC236}">
                <a16:creationId xmlns:a16="http://schemas.microsoft.com/office/drawing/2014/main" id="{00000000-0008-0000-3000-000007000000}"/>
              </a:ext>
            </a:extLst>
          </xdr:cNvPr>
          <xdr:cNvCxnSpPr/>
        </xdr:nvCxnSpPr>
        <xdr:spPr>
          <a:xfrm rot="5400000" flipH="1" flipV="1">
            <a:off x="991394" y="2056606"/>
            <a:ext cx="914400"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Straight Arrow Connector 7">
            <a:extLst>
              <a:ext uri="{FF2B5EF4-FFF2-40B4-BE49-F238E27FC236}">
                <a16:creationId xmlns:a16="http://schemas.microsoft.com/office/drawing/2014/main" id="{00000000-0008-0000-3000-000008000000}"/>
              </a:ext>
            </a:extLst>
          </xdr:cNvPr>
          <xdr:cNvCxnSpPr/>
        </xdr:nvCxnSpPr>
        <xdr:spPr>
          <a:xfrm rot="5400000">
            <a:off x="1905000" y="2057400"/>
            <a:ext cx="914400"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Rectangle 8">
            <a:extLst>
              <a:ext uri="{FF2B5EF4-FFF2-40B4-BE49-F238E27FC236}">
                <a16:creationId xmlns:a16="http://schemas.microsoft.com/office/drawing/2014/main" id="{00000000-0008-0000-3000-000009000000}"/>
              </a:ext>
            </a:extLst>
          </xdr:cNvPr>
          <xdr:cNvSpPr/>
        </xdr:nvSpPr>
        <xdr:spPr>
          <a:xfrm>
            <a:off x="4419600" y="990600"/>
            <a:ext cx="1524000" cy="6096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r>
              <a:rPr lang="en-US" sz="1400" kern="1200">
                <a:solidFill>
                  <a:schemeClr val="lt1"/>
                </a:solidFill>
                <a:latin typeface="+mn-lt"/>
                <a:ea typeface="+mn-ea"/>
                <a:cs typeface="+mn-cs"/>
              </a:rPr>
              <a:t>US Bank</a:t>
            </a:r>
          </a:p>
        </xdr:txBody>
      </xdr:sp>
      <xdr:cxnSp macro="">
        <xdr:nvCxnSpPr>
          <xdr:cNvPr id="10" name="Straight Arrow Connector 9">
            <a:extLst>
              <a:ext uri="{FF2B5EF4-FFF2-40B4-BE49-F238E27FC236}">
                <a16:creationId xmlns:a16="http://schemas.microsoft.com/office/drawing/2014/main" id="{00000000-0008-0000-3000-00000A000000}"/>
              </a:ext>
            </a:extLst>
          </xdr:cNvPr>
          <xdr:cNvCxnSpPr/>
        </xdr:nvCxnSpPr>
        <xdr:spPr>
          <a:xfrm>
            <a:off x="2743200" y="1143000"/>
            <a:ext cx="1676400"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Straight Arrow Connector 10">
            <a:extLst>
              <a:ext uri="{FF2B5EF4-FFF2-40B4-BE49-F238E27FC236}">
                <a16:creationId xmlns:a16="http://schemas.microsoft.com/office/drawing/2014/main" id="{00000000-0008-0000-3000-00000B000000}"/>
              </a:ext>
            </a:extLst>
          </xdr:cNvPr>
          <xdr:cNvCxnSpPr/>
        </xdr:nvCxnSpPr>
        <xdr:spPr>
          <a:xfrm rot="10800000">
            <a:off x="2743200" y="1447800"/>
            <a:ext cx="1676400"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Rectangle 11">
            <a:extLst>
              <a:ext uri="{FF2B5EF4-FFF2-40B4-BE49-F238E27FC236}">
                <a16:creationId xmlns:a16="http://schemas.microsoft.com/office/drawing/2014/main" id="{00000000-0008-0000-3000-00000C000000}"/>
              </a:ext>
            </a:extLst>
          </xdr:cNvPr>
          <xdr:cNvSpPr/>
        </xdr:nvSpPr>
        <xdr:spPr>
          <a:xfrm>
            <a:off x="1447800" y="3429000"/>
            <a:ext cx="1036657" cy="276999"/>
          </a:xfrm>
          <a:prstGeom prst="rect">
            <a:avLst/>
          </a:prstGeom>
        </xdr:spPr>
        <xdr:txBody>
          <a:bodyPr wrap="square">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a:t>€50,000 </a:t>
            </a:r>
          </a:p>
        </xdr:txBody>
      </xdr:sp>
      <xdr:sp macro="" textlink="">
        <xdr:nvSpPr>
          <xdr:cNvPr id="13" name="Rectangle 12">
            <a:extLst>
              <a:ext uri="{FF2B5EF4-FFF2-40B4-BE49-F238E27FC236}">
                <a16:creationId xmlns:a16="http://schemas.microsoft.com/office/drawing/2014/main" id="{00000000-0008-0000-3000-00000D000000}"/>
              </a:ext>
            </a:extLst>
          </xdr:cNvPr>
          <xdr:cNvSpPr/>
        </xdr:nvSpPr>
        <xdr:spPr>
          <a:xfrm>
            <a:off x="1401368" y="1933575"/>
            <a:ext cx="940340" cy="276999"/>
          </a:xfrm>
          <a:prstGeom prst="rect">
            <a:avLst/>
          </a:prstGeom>
        </xdr:spPr>
        <xdr:txBody>
          <a:bodyPr wrap="square">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a:t>€50,000 </a:t>
            </a:r>
          </a:p>
        </xdr:txBody>
      </xdr:sp>
      <xdr:sp macro="" textlink="">
        <xdr:nvSpPr>
          <xdr:cNvPr id="14" name="Rectangle 13">
            <a:extLst>
              <a:ext uri="{FF2B5EF4-FFF2-40B4-BE49-F238E27FC236}">
                <a16:creationId xmlns:a16="http://schemas.microsoft.com/office/drawing/2014/main" id="{00000000-0008-0000-3000-00000E000000}"/>
              </a:ext>
            </a:extLst>
          </xdr:cNvPr>
          <xdr:cNvSpPr/>
        </xdr:nvSpPr>
        <xdr:spPr>
          <a:xfrm>
            <a:off x="3200399" y="866001"/>
            <a:ext cx="1048453" cy="276999"/>
          </a:xfrm>
          <a:prstGeom prst="rect">
            <a:avLst/>
          </a:prstGeom>
        </xdr:spPr>
        <xdr:txBody>
          <a:bodyPr wrap="square">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a:t>€50,000 </a:t>
            </a:r>
          </a:p>
        </xdr:txBody>
      </xdr:sp>
      <xdr:sp macro="" textlink="">
        <xdr:nvSpPr>
          <xdr:cNvPr id="15" name="Rectangle 14">
            <a:extLst>
              <a:ext uri="{FF2B5EF4-FFF2-40B4-BE49-F238E27FC236}">
                <a16:creationId xmlns:a16="http://schemas.microsoft.com/office/drawing/2014/main" id="{00000000-0008-0000-3000-00000F000000}"/>
              </a:ext>
            </a:extLst>
          </xdr:cNvPr>
          <xdr:cNvSpPr/>
        </xdr:nvSpPr>
        <xdr:spPr>
          <a:xfrm>
            <a:off x="2362200" y="1932801"/>
            <a:ext cx="1062494" cy="276999"/>
          </a:xfrm>
          <a:prstGeom prst="rect">
            <a:avLst/>
          </a:prstGeom>
        </xdr:spPr>
        <xdr:txBody>
          <a:bodyPr wrap="square">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a:t>$70,325</a:t>
            </a:r>
          </a:p>
        </xdr:txBody>
      </xdr:sp>
      <xdr:sp macro="" textlink="">
        <xdr:nvSpPr>
          <xdr:cNvPr id="16" name="Rectangle 15">
            <a:extLst>
              <a:ext uri="{FF2B5EF4-FFF2-40B4-BE49-F238E27FC236}">
                <a16:creationId xmlns:a16="http://schemas.microsoft.com/office/drawing/2014/main" id="{00000000-0008-0000-3000-000010000000}"/>
              </a:ext>
            </a:extLst>
          </xdr:cNvPr>
          <xdr:cNvSpPr/>
        </xdr:nvSpPr>
        <xdr:spPr>
          <a:xfrm>
            <a:off x="3220354" y="1447800"/>
            <a:ext cx="935635" cy="276999"/>
          </a:xfrm>
          <a:prstGeom prst="rect">
            <a:avLst/>
          </a:prstGeom>
        </xdr:spPr>
        <xdr:txBody>
          <a:bodyPr wrap="square">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a:t>$70,325</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396240</xdr:colOff>
          <xdr:row>5</xdr:row>
          <xdr:rowOff>15240</xdr:rowOff>
        </xdr:from>
        <xdr:to>
          <xdr:col>3</xdr:col>
          <xdr:colOff>281940</xdr:colOff>
          <xdr:row>7</xdr:row>
          <xdr:rowOff>38100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3100-00000104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0" i="0" u="none" strike="noStrike" baseline="0">
                  <a:solidFill>
                    <a:srgbClr val="000000"/>
                  </a:solidFill>
                  <a:latin typeface="Arial"/>
                  <a:cs typeface="Arial"/>
                </a:rPr>
                <a:t>Swap Rate</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deloney/Desktop/Schedule_A%20Mar1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clark/AppData/Local/Microsoft/Windows/Temporary%20Internet%20Files/Content.Outlook/CZLH1ZW4/Schedule_A.JUL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edA"/>
      <sheetName val="Report"/>
      <sheetName val="Notes"/>
      <sheetName val="Chart-Data"/>
      <sheetName val="Apr14"/>
      <sheetName val="Mar14"/>
      <sheetName val="Feb14"/>
      <sheetName val="Jan14"/>
      <sheetName val="Dec13"/>
      <sheetName val="Nov13"/>
      <sheetName val="Oct13"/>
      <sheetName val="Sep13"/>
      <sheetName val="Aug13"/>
      <sheetName val="Jul13"/>
      <sheetName val="Jun13"/>
      <sheetName val="May13"/>
      <sheetName val="Apr13"/>
      <sheetName val="Mar13"/>
      <sheetName val="Feb13"/>
      <sheetName val="Jan13"/>
      <sheetName val="Dec12"/>
      <sheetName val="Nov12"/>
      <sheetName val="Oct12"/>
      <sheetName val="Sep12"/>
      <sheetName val="Aug12"/>
      <sheetName val="Jul12"/>
      <sheetName val="Jun12"/>
      <sheetName val="May12"/>
      <sheetName val="Apr12"/>
      <sheetName val="Mar12"/>
      <sheetName val="Feb12"/>
      <sheetName val="Jan12"/>
      <sheetName val="Dec11"/>
      <sheetName val="Nov11"/>
      <sheetName val="Oct11"/>
      <sheetName val="Sep11"/>
      <sheetName val="Aug11"/>
      <sheetName val="Jul11"/>
      <sheetName val="Jun11"/>
      <sheetName val="OLDMay11"/>
      <sheetName val="OLDApr11"/>
      <sheetName val="OldMar11"/>
      <sheetName val="FX-Example"/>
      <sheetName val="SWAP-Price-Example"/>
      <sheetName val="PUNCHLIST"/>
      <sheetName val="ReadMe"/>
    </sheetNames>
    <sheetDataSet>
      <sheetData sheetId="0" refreshError="1"/>
      <sheetData sheetId="1" refreshError="1"/>
      <sheetData sheetId="2"/>
      <sheetData sheetId="3">
        <row r="69">
          <cell r="FA69">
            <v>41743</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 val="Chart-Data"/>
      <sheetName val="Dec12"/>
      <sheetName val="Nov12"/>
      <sheetName val="Oct12"/>
      <sheetName val="Sep12"/>
      <sheetName val="Aug12"/>
      <sheetName val="Jul12"/>
      <sheetName val="Jun12"/>
      <sheetName val="May12"/>
      <sheetName val="Apr12"/>
      <sheetName val="Mar12"/>
      <sheetName val="Feb12"/>
      <sheetName val="Jan12"/>
      <sheetName val="Dec11"/>
      <sheetName val="Nov11"/>
      <sheetName val="Oct11"/>
      <sheetName val="Sep11"/>
      <sheetName val="Aug11"/>
      <sheetName val="Jul11"/>
      <sheetName val="Jun11"/>
      <sheetName val="OLDMay11"/>
      <sheetName val="OLDApr11"/>
      <sheetName val="OldMar11"/>
      <sheetName val="Exchange Rate Data"/>
      <sheetName val="FX-Example"/>
      <sheetName val="SWAP-Price-Example"/>
      <sheetName val="PUNCHLIST"/>
      <sheetName val="ReadMe"/>
    </sheetNames>
    <sheetDataSet>
      <sheetData sheetId="0"/>
      <sheetData sheetId="1">
        <row r="16">
          <cell r="C16">
            <v>41091</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3" displayName="Table3" ref="C42:F51" totalsRowShown="0" headerRowDxfId="8" dataDxfId="7">
  <autoFilter ref="C42:F51" xr:uid="{00000000-0009-0000-0100-000002000000}"/>
  <tableColumns count="4">
    <tableColumn id="1" xr3:uid="{00000000-0010-0000-0000-000001000000}" name="Counterparty" dataDxfId="6"/>
    <tableColumn id="2" xr3:uid="{00000000-0010-0000-0000-000002000000}" name="Net Term. Exposure *_x000a_(Millions)" dataDxfId="5"/>
    <tableColumn id="3" xr3:uid="{00000000-0010-0000-0000-000003000000}" name="University Guarantee Limit_x000a_ (Millions)" dataDxfId="4"/>
    <tableColumn id="4" xr3:uid="{00000000-0010-0000-0000-000004000000}" name="Bond Rating" dataDxfId="3"/>
  </tableColumns>
  <tableStyleInfo name="TableStyleMedium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3.vml"/></Relationships>
</file>

<file path=xl/worksheets/_rels/sheet3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33.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5.vml"/></Relationships>
</file>

<file path=xl/worksheets/_rels/sheet34.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6.vml"/></Relationships>
</file>

<file path=xl/worksheets/_rels/sheet35.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7.vml"/></Relationships>
</file>

<file path=xl/worksheets/_rels/sheet36.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8.vml"/></Relationships>
</file>

<file path=xl/worksheets/_rels/sheet37.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9.vml"/></Relationships>
</file>

<file path=xl/worksheets/_rels/sheet38.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10.vml"/></Relationships>
</file>

<file path=xl/worksheets/_rels/sheet39.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1.vml"/><Relationship Id="rId1"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2.vml"/><Relationship Id="rId1" Type="http://schemas.openxmlformats.org/officeDocument/2006/relationships/printerSettings" Target="../printerSettings/printerSettings10.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3.vml"/><Relationship Id="rId1" Type="http://schemas.openxmlformats.org/officeDocument/2006/relationships/printerSettings" Target="../printerSettings/printerSettings11.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4.vml"/><Relationship Id="rId1" Type="http://schemas.openxmlformats.org/officeDocument/2006/relationships/printerSettings" Target="../printerSettings/printerSettings1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50.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7.xml"/><Relationship Id="rId1" Type="http://schemas.openxmlformats.org/officeDocument/2006/relationships/printerSettings" Target="../printerSettings/printerSettings20.bin"/><Relationship Id="rId4" Type="http://schemas.openxmlformats.org/officeDocument/2006/relationships/ctrlProp" Target="../ctrlProps/ctrlProp2.xml"/></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www.standardandpoors.com/prot/ratings/entity-ratings/en/us/?entityID=272693&amp;sectorCode=UTIL" TargetMode="External"/><Relationship Id="rId7" Type="http://schemas.openxmlformats.org/officeDocument/2006/relationships/vmlDrawing" Target="../drawings/vmlDrawing2.vml"/><Relationship Id="rId2" Type="http://schemas.openxmlformats.org/officeDocument/2006/relationships/hyperlink" Target="http://www.moodys.com/credit-ratings/Exelon-Corporation-credit-rating-600055789" TargetMode="External"/><Relationship Id="rId1" Type="http://schemas.openxmlformats.org/officeDocument/2006/relationships/hyperlink" Target="http://www.moodys.com/credit-ratings/AGL-Resources-Inc-credit-rating-600022640" TargetMode="External"/><Relationship Id="rId6" Type="http://schemas.openxmlformats.org/officeDocument/2006/relationships/printerSettings" Target="../printerSettings/printerSettings6.bin"/><Relationship Id="rId5" Type="http://schemas.openxmlformats.org/officeDocument/2006/relationships/hyperlink" Target="http://online.wsj.com/mdc/public/page/2_3021-forex-20121130.html?mod=mdc_pastcalendar" TargetMode="External"/><Relationship Id="rId4" Type="http://schemas.openxmlformats.org/officeDocument/2006/relationships/hyperlink" Target="http://www.standardandpoors.com/prot/ratings/entity-ratings/en/us/?entityID=275313&amp;sectorCode=UTI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1:AQ194"/>
  <sheetViews>
    <sheetView tabSelected="1" zoomScale="90" zoomScaleNormal="90" zoomScalePageLayoutView="80" workbookViewId="0">
      <selection activeCell="P2" sqref="P2"/>
    </sheetView>
  </sheetViews>
  <sheetFormatPr defaultColWidth="9.109375" defaultRowHeight="13.2" x14ac:dyDescent="0.25"/>
  <cols>
    <col min="1" max="1" width="14.77734375" style="557" customWidth="1"/>
    <col min="2" max="2" width="21.33203125" style="557" customWidth="1"/>
    <col min="3" max="3" width="21.44140625" style="557" customWidth="1"/>
    <col min="4" max="4" width="14.6640625" style="557" customWidth="1"/>
    <col min="5" max="5" width="14" style="557" customWidth="1"/>
    <col min="6" max="6" width="13.44140625" style="557" customWidth="1"/>
    <col min="7" max="7" width="13.109375" style="557" customWidth="1"/>
    <col min="8" max="8" width="13.33203125" style="557" customWidth="1"/>
    <col min="9" max="9" width="11.44140625" style="557" customWidth="1"/>
    <col min="10" max="10" width="12.33203125" style="557" customWidth="1"/>
    <col min="11" max="11" width="11.109375" style="557" customWidth="1"/>
    <col min="12" max="12" width="12.77734375" style="647" customWidth="1"/>
    <col min="13" max="13" width="17.109375" style="557" customWidth="1"/>
    <col min="14" max="14" width="1.77734375" style="557" customWidth="1"/>
    <col min="15" max="15" width="3.109375" style="557" customWidth="1"/>
    <col min="16" max="21" width="25.6640625" style="647" customWidth="1"/>
    <col min="22" max="22" width="9.109375" style="557"/>
    <col min="23" max="23" width="9.109375" style="557" customWidth="1"/>
    <col min="24" max="30" width="9.109375" style="557"/>
    <col min="31" max="31" width="5.77734375" style="557" customWidth="1"/>
    <col min="32" max="36" width="9.109375" style="557"/>
    <col min="37" max="43" width="9.109375" style="22"/>
    <col min="44" max="16384" width="9.109375" style="557"/>
  </cols>
  <sheetData>
    <row r="1" spans="1:43" s="647" customFormat="1" ht="39.6" customHeight="1" thickBot="1" x14ac:dyDescent="0.3">
      <c r="A1" s="930" t="s">
        <v>622</v>
      </c>
      <c r="B1" s="930"/>
      <c r="C1" s="930"/>
      <c r="AK1" s="22"/>
      <c r="AL1" s="22"/>
      <c r="AM1" s="22"/>
      <c r="AN1" s="22"/>
      <c r="AO1" s="22"/>
      <c r="AP1" s="22"/>
      <c r="AQ1" s="22"/>
    </row>
    <row r="2" spans="1:43" s="37" customFormat="1" ht="32.25" customHeight="1" thickTop="1" thickBot="1" x14ac:dyDescent="0.35">
      <c r="A2" s="928" t="s">
        <v>517</v>
      </c>
      <c r="B2" s="929"/>
      <c r="C2" s="931"/>
      <c r="D2" s="846" t="s">
        <v>516</v>
      </c>
      <c r="E2" s="847"/>
      <c r="F2" s="847"/>
      <c r="G2" s="721" t="s">
        <v>512</v>
      </c>
      <c r="H2" s="722" t="s">
        <v>500</v>
      </c>
      <c r="I2" s="843" t="s">
        <v>508</v>
      </c>
      <c r="J2" s="844"/>
      <c r="K2" s="844"/>
      <c r="L2" s="844"/>
      <c r="M2" s="845"/>
      <c r="AK2" s="719"/>
      <c r="AL2" s="719"/>
      <c r="AM2" s="719"/>
      <c r="AN2" s="719"/>
      <c r="AO2" s="719"/>
      <c r="AP2" s="719"/>
      <c r="AQ2" s="719"/>
    </row>
    <row r="3" spans="1:43" s="647" customFormat="1" ht="16.5" customHeight="1" thickTop="1" x14ac:dyDescent="0.25">
      <c r="A3" s="661" t="s">
        <v>540</v>
      </c>
      <c r="B3" s="718"/>
      <c r="C3" s="644" t="s">
        <v>551</v>
      </c>
      <c r="D3" s="695" t="s">
        <v>108</v>
      </c>
      <c r="F3" s="723" t="s">
        <v>518</v>
      </c>
      <c r="G3" s="799">
        <f>+H54</f>
        <v>22.884999999999998</v>
      </c>
      <c r="H3" s="797">
        <f>+J54</f>
        <v>-1.397959</v>
      </c>
      <c r="I3" s="716" t="s">
        <v>495</v>
      </c>
      <c r="J3" s="715"/>
      <c r="K3" s="715"/>
      <c r="L3" s="715"/>
      <c r="M3" s="584"/>
      <c r="AK3" s="22"/>
      <c r="AL3" s="22"/>
      <c r="AM3" s="22"/>
      <c r="AN3" s="22"/>
      <c r="AO3" s="22"/>
      <c r="AP3" s="22"/>
      <c r="AQ3" s="22"/>
    </row>
    <row r="4" spans="1:43" s="647" customFormat="1" ht="15" customHeight="1" x14ac:dyDescent="0.25">
      <c r="A4" s="661" t="s">
        <v>513</v>
      </c>
      <c r="B4" s="718"/>
      <c r="C4" s="644" t="s">
        <v>550</v>
      </c>
      <c r="D4" s="681" t="s">
        <v>564</v>
      </c>
      <c r="G4" s="799">
        <f>+H55</f>
        <v>17.68</v>
      </c>
      <c r="H4" s="796">
        <f>+J55</f>
        <v>4.0300000000000011</v>
      </c>
      <c r="I4" s="717" t="s">
        <v>487</v>
      </c>
      <c r="J4" s="715"/>
      <c r="K4" s="715"/>
      <c r="L4" s="584"/>
      <c r="M4" s="691">
        <v>2500000</v>
      </c>
      <c r="AK4" s="22"/>
      <c r="AL4" s="22"/>
      <c r="AM4" s="22"/>
      <c r="AN4" s="22"/>
      <c r="AO4" s="22"/>
      <c r="AP4" s="22"/>
      <c r="AQ4" s="22"/>
    </row>
    <row r="5" spans="1:43" s="647" customFormat="1" ht="15" customHeight="1" x14ac:dyDescent="0.25">
      <c r="A5" s="661" t="s">
        <v>613</v>
      </c>
      <c r="B5" s="695"/>
      <c r="C5" s="644" t="s">
        <v>607</v>
      </c>
      <c r="D5" s="695" t="s">
        <v>611</v>
      </c>
      <c r="G5" s="799">
        <f>+H69</f>
        <v>43.34</v>
      </c>
      <c r="H5" s="796">
        <f>+J69</f>
        <v>15.35</v>
      </c>
      <c r="I5" s="717" t="s">
        <v>543</v>
      </c>
      <c r="J5" s="715"/>
      <c r="K5" s="715"/>
      <c r="L5" s="584"/>
      <c r="M5" s="691">
        <v>25000</v>
      </c>
      <c r="AK5" s="22"/>
      <c r="AL5" s="22"/>
      <c r="AM5" s="22"/>
      <c r="AN5" s="22"/>
      <c r="AO5" s="22"/>
      <c r="AP5" s="22"/>
      <c r="AQ5" s="22"/>
    </row>
    <row r="6" spans="1:43" s="647" customFormat="1" ht="15" customHeight="1" x14ac:dyDescent="0.25">
      <c r="A6" s="661" t="s">
        <v>515</v>
      </c>
      <c r="B6" s="747"/>
      <c r="C6" s="4" t="s">
        <v>514</v>
      </c>
      <c r="D6" s="695" t="s">
        <v>610</v>
      </c>
      <c r="G6" s="799">
        <f>+H73</f>
        <v>22.387764000000001</v>
      </c>
      <c r="H6" s="796">
        <f>+J73</f>
        <v>-30.257221999999999</v>
      </c>
      <c r="I6" s="669" t="s">
        <v>591</v>
      </c>
      <c r="J6" s="669"/>
      <c r="K6" s="669"/>
      <c r="L6" s="669"/>
      <c r="M6" s="691">
        <v>500000</v>
      </c>
      <c r="AK6" s="22"/>
      <c r="AL6" s="22"/>
      <c r="AM6" s="22"/>
      <c r="AN6" s="22"/>
      <c r="AO6" s="22"/>
      <c r="AP6" s="22"/>
      <c r="AQ6" s="22"/>
    </row>
    <row r="7" spans="1:43" s="647" customFormat="1" ht="15" customHeight="1" x14ac:dyDescent="0.25">
      <c r="A7" s="661"/>
      <c r="B7" s="747" t="s">
        <v>323</v>
      </c>
      <c r="C7" s="4"/>
      <c r="D7" s="695"/>
      <c r="G7" s="799"/>
      <c r="H7" s="796"/>
      <c r="I7" s="669" t="s">
        <v>590</v>
      </c>
      <c r="J7" s="669"/>
      <c r="K7" s="669"/>
      <c r="L7" s="669"/>
      <c r="M7" s="691">
        <v>2500000</v>
      </c>
      <c r="AK7" s="22"/>
      <c r="AL7" s="22"/>
      <c r="AM7" s="22"/>
      <c r="AN7" s="22"/>
      <c r="AO7" s="22"/>
      <c r="AP7" s="22"/>
      <c r="AQ7" s="22"/>
    </row>
    <row r="8" spans="1:43" s="647" customFormat="1" ht="15" customHeight="1" thickBot="1" x14ac:dyDescent="0.3">
      <c r="D8" s="703" t="s">
        <v>106</v>
      </c>
      <c r="F8" s="724" t="s">
        <v>518</v>
      </c>
      <c r="G8" s="800">
        <f>+G4+G5+G6+G3</f>
        <v>106.29276400000001</v>
      </c>
      <c r="H8" s="798">
        <f>+H4+H5+H6+H3</f>
        <v>-12.275180999999996</v>
      </c>
      <c r="I8" s="716" t="s">
        <v>494</v>
      </c>
      <c r="J8" s="715"/>
      <c r="K8" s="669"/>
      <c r="L8" s="669"/>
      <c r="M8" s="584"/>
      <c r="AK8" s="22"/>
      <c r="AL8" s="22"/>
      <c r="AM8" s="22"/>
      <c r="AN8" s="22"/>
      <c r="AO8" s="22"/>
      <c r="AP8" s="22"/>
      <c r="AQ8" s="22"/>
    </row>
    <row r="9" spans="1:43" s="647" customFormat="1" ht="15" customHeight="1" thickTop="1" x14ac:dyDescent="0.25">
      <c r="B9" s="695"/>
      <c r="I9" s="690" t="s">
        <v>593</v>
      </c>
      <c r="J9" s="669"/>
      <c r="K9" s="669"/>
      <c r="L9" s="669"/>
      <c r="M9" s="691">
        <v>573473</v>
      </c>
      <c r="W9" s="720"/>
      <c r="AK9" s="22"/>
      <c r="AL9" s="22"/>
      <c r="AM9" s="22"/>
      <c r="AN9" s="22"/>
      <c r="AO9" s="22"/>
      <c r="AP9" s="22"/>
      <c r="AQ9" s="22"/>
    </row>
    <row r="10" spans="1:43" s="647" customFormat="1" ht="5.25" customHeight="1" thickBot="1" x14ac:dyDescent="0.3">
      <c r="A10" s="695"/>
      <c r="B10" s="695"/>
      <c r="C10" s="695"/>
      <c r="D10" s="22"/>
      <c r="E10" s="695"/>
      <c r="F10" s="702"/>
      <c r="G10" s="694"/>
      <c r="H10" s="690"/>
      <c r="I10" s="690"/>
      <c r="J10" s="669"/>
      <c r="K10" s="669"/>
      <c r="L10" s="669"/>
      <c r="M10" s="691"/>
      <c r="W10" s="720"/>
      <c r="AK10" s="22"/>
      <c r="AL10" s="22"/>
      <c r="AM10" s="22"/>
      <c r="AN10" s="22"/>
      <c r="AO10" s="22"/>
      <c r="AP10" s="22"/>
      <c r="AQ10" s="22"/>
    </row>
    <row r="11" spans="1:43" s="37" customFormat="1" ht="21" customHeight="1" thickBot="1" x14ac:dyDescent="0.35">
      <c r="A11" s="852" t="s">
        <v>509</v>
      </c>
      <c r="B11" s="853"/>
      <c r="C11" s="854"/>
      <c r="D11" s="852" t="s">
        <v>608</v>
      </c>
      <c r="E11" s="853"/>
      <c r="F11" s="853"/>
      <c r="G11" s="853"/>
      <c r="H11" s="854"/>
      <c r="I11" s="852" t="s">
        <v>612</v>
      </c>
      <c r="J11" s="853"/>
      <c r="K11" s="853"/>
      <c r="L11" s="853"/>
      <c r="M11" s="854"/>
      <c r="W11" s="720"/>
      <c r="AK11" s="719"/>
      <c r="AL11" s="719"/>
      <c r="AM11" s="719"/>
      <c r="AN11" s="719"/>
      <c r="AO11" s="719"/>
      <c r="AP11" s="719"/>
      <c r="AQ11" s="719"/>
    </row>
    <row r="12" spans="1:43" s="647" customFormat="1" ht="15" customHeight="1" x14ac:dyDescent="0.25">
      <c r="A12" s="855" t="s">
        <v>618</v>
      </c>
      <c r="B12" s="855"/>
      <c r="C12" s="855"/>
      <c r="D12" s="856" t="s">
        <v>606</v>
      </c>
      <c r="E12" s="856"/>
      <c r="F12" s="856"/>
      <c r="G12" s="856"/>
      <c r="H12" s="856"/>
      <c r="I12" s="855" t="s">
        <v>609</v>
      </c>
      <c r="J12" s="855"/>
      <c r="K12" s="855"/>
      <c r="L12" s="855"/>
      <c r="M12" s="855"/>
      <c r="AK12" s="22"/>
      <c r="AL12" s="22"/>
      <c r="AM12" s="22"/>
      <c r="AN12" s="22"/>
      <c r="AO12" s="22"/>
      <c r="AP12" s="22"/>
      <c r="AQ12" s="22"/>
    </row>
    <row r="13" spans="1:43" s="647" customFormat="1" ht="15" customHeight="1" x14ac:dyDescent="0.25">
      <c r="A13" s="856"/>
      <c r="B13" s="856"/>
      <c r="C13" s="856"/>
      <c r="D13" s="856"/>
      <c r="E13" s="856"/>
      <c r="F13" s="856"/>
      <c r="G13" s="856"/>
      <c r="H13" s="856"/>
      <c r="I13" s="856"/>
      <c r="J13" s="856"/>
      <c r="K13" s="856"/>
      <c r="L13" s="856"/>
      <c r="M13" s="856"/>
      <c r="AK13" s="22"/>
      <c r="AL13" s="22"/>
      <c r="AM13" s="22"/>
      <c r="AN13" s="22"/>
      <c r="AO13" s="22"/>
      <c r="AP13" s="22"/>
      <c r="AQ13" s="22"/>
    </row>
    <row r="14" spans="1:43" s="647" customFormat="1" ht="15" customHeight="1" x14ac:dyDescent="0.25">
      <c r="A14" s="856"/>
      <c r="B14" s="856"/>
      <c r="C14" s="856"/>
      <c r="D14" s="856"/>
      <c r="E14" s="856"/>
      <c r="F14" s="856"/>
      <c r="G14" s="856"/>
      <c r="H14" s="856"/>
      <c r="I14" s="856"/>
      <c r="J14" s="856"/>
      <c r="K14" s="856"/>
      <c r="L14" s="856"/>
      <c r="M14" s="856"/>
      <c r="AK14" s="22"/>
      <c r="AL14" s="22"/>
      <c r="AM14" s="22"/>
      <c r="AN14" s="22"/>
      <c r="AO14" s="22"/>
      <c r="AP14" s="22"/>
      <c r="AQ14" s="22"/>
    </row>
    <row r="15" spans="1:43" s="647" customFormat="1" ht="15" customHeight="1" x14ac:dyDescent="0.25">
      <c r="A15" s="856"/>
      <c r="B15" s="856"/>
      <c r="C15" s="856"/>
      <c r="D15" s="856"/>
      <c r="E15" s="856"/>
      <c r="F15" s="856"/>
      <c r="G15" s="856"/>
      <c r="H15" s="856"/>
      <c r="I15" s="856"/>
      <c r="J15" s="856"/>
      <c r="K15" s="856"/>
      <c r="L15" s="856"/>
      <c r="M15" s="856"/>
      <c r="AK15" s="22"/>
      <c r="AL15" s="22"/>
      <c r="AM15" s="22"/>
      <c r="AN15" s="22"/>
      <c r="AO15" s="22"/>
      <c r="AP15" s="22"/>
      <c r="AQ15" s="22"/>
    </row>
    <row r="16" spans="1:43" s="647" customFormat="1" ht="15" customHeight="1" x14ac:dyDescent="0.25">
      <c r="A16" s="856"/>
      <c r="B16" s="856"/>
      <c r="C16" s="856"/>
      <c r="D16" s="856"/>
      <c r="E16" s="856"/>
      <c r="F16" s="856"/>
      <c r="G16" s="856"/>
      <c r="H16" s="856"/>
      <c r="I16" s="856"/>
      <c r="J16" s="856"/>
      <c r="K16" s="856"/>
      <c r="L16" s="856"/>
      <c r="M16" s="856"/>
      <c r="AK16" s="22"/>
      <c r="AL16" s="22"/>
      <c r="AM16" s="22"/>
      <c r="AN16" s="22"/>
      <c r="AO16" s="22"/>
      <c r="AP16" s="22"/>
      <c r="AQ16" s="22"/>
    </row>
    <row r="17" spans="1:43" s="647" customFormat="1" ht="15" customHeight="1" x14ac:dyDescent="0.25">
      <c r="A17" s="856"/>
      <c r="B17" s="856"/>
      <c r="C17" s="856"/>
      <c r="D17" s="856"/>
      <c r="E17" s="856"/>
      <c r="F17" s="856"/>
      <c r="G17" s="856"/>
      <c r="H17" s="856"/>
      <c r="I17" s="856"/>
      <c r="J17" s="856"/>
      <c r="K17" s="856"/>
      <c r="L17" s="856"/>
      <c r="M17" s="856"/>
      <c r="AK17" s="22"/>
      <c r="AL17" s="22"/>
      <c r="AM17" s="22"/>
      <c r="AN17" s="22"/>
      <c r="AO17" s="22"/>
      <c r="AP17" s="22"/>
      <c r="AQ17" s="22"/>
    </row>
    <row r="18" spans="1:43" s="647" customFormat="1" ht="15" customHeight="1" x14ac:dyDescent="0.25">
      <c r="A18" s="856"/>
      <c r="B18" s="856"/>
      <c r="C18" s="856"/>
      <c r="D18" s="856"/>
      <c r="E18" s="856"/>
      <c r="F18" s="856"/>
      <c r="G18" s="856"/>
      <c r="H18" s="856"/>
      <c r="I18" s="856"/>
      <c r="J18" s="856"/>
      <c r="K18" s="856"/>
      <c r="L18" s="856"/>
      <c r="M18" s="856"/>
      <c r="AK18" s="22"/>
      <c r="AL18" s="22"/>
      <c r="AM18" s="22"/>
      <c r="AN18" s="22"/>
      <c r="AO18" s="22"/>
      <c r="AP18" s="22"/>
      <c r="AQ18" s="22"/>
    </row>
    <row r="19" spans="1:43" s="647" customFormat="1" ht="15" customHeight="1" x14ac:dyDescent="0.25">
      <c r="A19" s="856"/>
      <c r="B19" s="856"/>
      <c r="C19" s="856"/>
      <c r="D19" s="856"/>
      <c r="E19" s="856"/>
      <c r="F19" s="856"/>
      <c r="G19" s="856"/>
      <c r="H19" s="856"/>
      <c r="I19" s="856"/>
      <c r="J19" s="856"/>
      <c r="K19" s="856"/>
      <c r="L19" s="856"/>
      <c r="M19" s="856"/>
      <c r="AK19" s="22"/>
      <c r="AL19" s="22"/>
      <c r="AM19" s="22"/>
      <c r="AN19" s="22"/>
      <c r="AO19" s="22"/>
      <c r="AP19" s="22"/>
      <c r="AQ19" s="22"/>
    </row>
    <row r="20" spans="1:43" s="647" customFormat="1" ht="15" customHeight="1" x14ac:dyDescent="0.25">
      <c r="A20" s="856"/>
      <c r="B20" s="856"/>
      <c r="C20" s="856"/>
      <c r="D20" s="856"/>
      <c r="E20" s="856"/>
      <c r="F20" s="856"/>
      <c r="G20" s="856"/>
      <c r="H20" s="856"/>
      <c r="I20" s="856"/>
      <c r="J20" s="856"/>
      <c r="K20" s="856"/>
      <c r="L20" s="856"/>
      <c r="M20" s="856"/>
      <c r="AK20" s="22"/>
      <c r="AL20" s="22"/>
      <c r="AM20" s="22"/>
      <c r="AN20" s="22"/>
      <c r="AO20" s="22"/>
      <c r="AP20" s="22"/>
      <c r="AQ20" s="22"/>
    </row>
    <row r="21" spans="1:43" s="647" customFormat="1" ht="24" customHeight="1" x14ac:dyDescent="0.25">
      <c r="A21" s="856"/>
      <c r="B21" s="856"/>
      <c r="C21" s="856"/>
      <c r="D21" s="856"/>
      <c r="E21" s="856"/>
      <c r="F21" s="856"/>
      <c r="G21" s="856"/>
      <c r="H21" s="856"/>
      <c r="I21" s="856"/>
      <c r="J21" s="856"/>
      <c r="K21" s="856"/>
      <c r="L21" s="856"/>
      <c r="M21" s="856"/>
      <c r="AK21" s="22"/>
      <c r="AL21" s="22"/>
      <c r="AM21" s="22"/>
      <c r="AN21" s="22"/>
      <c r="AO21" s="22"/>
      <c r="AP21" s="22"/>
      <c r="AQ21" s="22"/>
    </row>
    <row r="22" spans="1:43" s="647" customFormat="1" ht="37.5" customHeight="1" x14ac:dyDescent="0.25">
      <c r="A22" s="856"/>
      <c r="B22" s="856"/>
      <c r="C22" s="856"/>
      <c r="D22" s="856"/>
      <c r="E22" s="856"/>
      <c r="F22" s="856"/>
      <c r="G22" s="856"/>
      <c r="H22" s="856"/>
      <c r="I22" s="856"/>
      <c r="J22" s="856"/>
      <c r="K22" s="856"/>
      <c r="L22" s="856"/>
      <c r="M22" s="856"/>
      <c r="AK22" s="22"/>
      <c r="AL22" s="22"/>
      <c r="AM22" s="22"/>
      <c r="AN22" s="22"/>
      <c r="AO22" s="22"/>
      <c r="AP22" s="22"/>
      <c r="AQ22" s="22"/>
    </row>
    <row r="23" spans="1:43" s="647" customFormat="1" ht="20.25" customHeight="1" x14ac:dyDescent="0.25">
      <c r="A23" s="856"/>
      <c r="B23" s="856"/>
      <c r="C23" s="856"/>
      <c r="D23" s="856"/>
      <c r="E23" s="856"/>
      <c r="F23" s="856"/>
      <c r="G23" s="856"/>
      <c r="H23" s="856"/>
      <c r="I23" s="856"/>
      <c r="J23" s="856"/>
      <c r="K23" s="856"/>
      <c r="L23" s="856"/>
      <c r="M23" s="856"/>
      <c r="AK23" s="22"/>
      <c r="AL23" s="22"/>
      <c r="AM23" s="22"/>
      <c r="AN23" s="22"/>
      <c r="AO23" s="22"/>
      <c r="AP23" s="22"/>
      <c r="AQ23" s="22"/>
    </row>
    <row r="24" spans="1:43" s="647" customFormat="1" ht="13.05" customHeight="1" x14ac:dyDescent="0.25">
      <c r="A24" s="671"/>
      <c r="B24" s="671"/>
      <c r="C24" s="671"/>
      <c r="D24" s="671"/>
      <c r="E24" s="671"/>
      <c r="F24" s="671"/>
      <c r="G24" s="671"/>
      <c r="H24" s="671"/>
      <c r="I24" s="671"/>
      <c r="J24" s="671"/>
      <c r="K24" s="671"/>
      <c r="L24" s="671"/>
      <c r="M24" s="671"/>
      <c r="AK24" s="22"/>
      <c r="AL24" s="22"/>
      <c r="AM24" s="22"/>
      <c r="AN24" s="22"/>
      <c r="AO24" s="22"/>
      <c r="AP24" s="22"/>
      <c r="AQ24" s="22"/>
    </row>
    <row r="25" spans="1:43" s="647" customFormat="1" ht="21" customHeight="1" x14ac:dyDescent="0.25">
      <c r="A25" s="857" t="s">
        <v>510</v>
      </c>
      <c r="B25" s="857"/>
      <c r="C25" s="857"/>
      <c r="D25" s="857"/>
      <c r="E25" s="857"/>
      <c r="F25" s="857"/>
      <c r="G25" s="857"/>
      <c r="H25" s="857"/>
      <c r="AK25" s="22"/>
      <c r="AL25" s="22"/>
      <c r="AM25" s="22"/>
      <c r="AN25" s="22"/>
      <c r="AO25" s="22"/>
      <c r="AP25" s="22"/>
      <c r="AQ25" s="22"/>
    </row>
    <row r="26" spans="1:43" s="647" customFormat="1" ht="15" customHeight="1" x14ac:dyDescent="0.25">
      <c r="A26" s="681"/>
      <c r="B26" s="681"/>
      <c r="C26" s="681"/>
      <c r="D26" s="681"/>
      <c r="E26" s="681"/>
      <c r="F26" s="681"/>
      <c r="G26" s="681"/>
      <c r="H26" s="681"/>
      <c r="AK26" s="22"/>
      <c r="AL26" s="22"/>
      <c r="AM26" s="22"/>
      <c r="AN26" s="22"/>
      <c r="AO26" s="22"/>
      <c r="AP26" s="22"/>
      <c r="AQ26" s="22"/>
    </row>
    <row r="27" spans="1:43" s="647" customFormat="1" ht="15" customHeight="1" x14ac:dyDescent="0.25">
      <c r="A27" s="681"/>
      <c r="B27" s="681"/>
      <c r="C27" s="681"/>
      <c r="D27" s="681"/>
      <c r="E27" s="681"/>
      <c r="F27" s="681"/>
      <c r="G27" s="681"/>
      <c r="H27" s="681"/>
      <c r="AK27" s="22"/>
      <c r="AL27" s="22"/>
      <c r="AM27" s="22"/>
      <c r="AN27" s="22"/>
      <c r="AO27" s="22"/>
      <c r="AP27" s="22"/>
      <c r="AQ27" s="22"/>
    </row>
    <row r="28" spans="1:43" s="647" customFormat="1" ht="15" customHeight="1" x14ac:dyDescent="0.25">
      <c r="A28" s="681"/>
      <c r="B28" s="681"/>
      <c r="C28" s="681"/>
      <c r="D28" s="681"/>
      <c r="E28" s="681"/>
      <c r="F28" s="681"/>
      <c r="G28" s="681"/>
      <c r="H28" s="681"/>
      <c r="AK28" s="22"/>
      <c r="AL28" s="22"/>
      <c r="AM28" s="22"/>
      <c r="AN28" s="22"/>
      <c r="AO28" s="22"/>
      <c r="AP28" s="22"/>
      <c r="AQ28" s="22"/>
    </row>
    <row r="29" spans="1:43" s="647" customFormat="1" ht="15" customHeight="1" x14ac:dyDescent="0.25">
      <c r="A29" s="681"/>
      <c r="B29" s="681"/>
      <c r="C29" s="681"/>
      <c r="D29" s="681"/>
      <c r="E29" s="681"/>
      <c r="F29" s="681"/>
      <c r="G29" s="681"/>
      <c r="H29" s="681"/>
      <c r="AK29" s="22"/>
      <c r="AL29" s="22"/>
      <c r="AM29" s="22"/>
      <c r="AN29" s="22"/>
      <c r="AO29" s="22"/>
      <c r="AP29" s="22"/>
      <c r="AQ29" s="22"/>
    </row>
    <row r="30" spans="1:43" s="647" customFormat="1" ht="15" customHeight="1" x14ac:dyDescent="0.25">
      <c r="A30" s="681"/>
      <c r="B30" s="681"/>
      <c r="C30" s="681"/>
      <c r="D30" s="681"/>
      <c r="E30" s="681"/>
      <c r="F30" s="681"/>
      <c r="G30" s="681"/>
      <c r="H30" s="681"/>
      <c r="AK30" s="22"/>
      <c r="AL30" s="22"/>
      <c r="AM30" s="22"/>
      <c r="AN30" s="22"/>
      <c r="AO30" s="22"/>
      <c r="AP30" s="22"/>
      <c r="AQ30" s="22"/>
    </row>
    <row r="31" spans="1:43" s="647" customFormat="1" ht="15" customHeight="1" x14ac:dyDescent="0.25">
      <c r="A31" s="681"/>
      <c r="B31" s="681"/>
      <c r="C31" s="681"/>
      <c r="D31" s="681"/>
      <c r="E31" s="681"/>
      <c r="F31" s="681"/>
      <c r="G31" s="681"/>
      <c r="H31" s="681"/>
      <c r="AK31" s="22"/>
      <c r="AL31" s="22"/>
      <c r="AM31" s="22"/>
      <c r="AN31" s="22"/>
      <c r="AO31" s="22"/>
      <c r="AP31" s="22"/>
      <c r="AQ31" s="22"/>
    </row>
    <row r="32" spans="1:43" s="647" customFormat="1" ht="15" customHeight="1" x14ac:dyDescent="0.25">
      <c r="A32" s="681"/>
      <c r="B32" s="681"/>
      <c r="C32" s="681"/>
      <c r="D32" s="681"/>
      <c r="E32" s="681"/>
      <c r="F32" s="681"/>
      <c r="G32" s="681"/>
      <c r="H32" s="681"/>
      <c r="AK32" s="22"/>
      <c r="AL32" s="22"/>
      <c r="AM32" s="22"/>
      <c r="AN32" s="22"/>
      <c r="AO32" s="22"/>
      <c r="AP32" s="22"/>
      <c r="AQ32" s="22"/>
    </row>
    <row r="33" spans="1:43" s="647" customFormat="1" ht="15" customHeight="1" x14ac:dyDescent="0.25">
      <c r="A33" s="681"/>
      <c r="B33" s="681"/>
      <c r="C33" s="681"/>
      <c r="D33" s="681"/>
      <c r="E33" s="681"/>
      <c r="F33" s="681"/>
      <c r="G33" s="681"/>
      <c r="H33" s="681"/>
      <c r="AK33" s="22"/>
      <c r="AL33" s="22"/>
      <c r="AM33" s="22"/>
      <c r="AN33" s="22"/>
      <c r="AO33" s="22"/>
      <c r="AP33" s="22"/>
      <c r="AQ33" s="22"/>
    </row>
    <row r="34" spans="1:43" s="647" customFormat="1" ht="15" customHeight="1" x14ac:dyDescent="0.25">
      <c r="A34" s="681"/>
      <c r="B34" s="681"/>
      <c r="C34" s="681"/>
      <c r="D34" s="681"/>
      <c r="E34" s="681"/>
      <c r="F34" s="681"/>
      <c r="G34" s="681"/>
      <c r="H34" s="681"/>
      <c r="AK34" s="22"/>
      <c r="AL34" s="22"/>
      <c r="AM34" s="22"/>
      <c r="AN34" s="22"/>
      <c r="AO34" s="22"/>
      <c r="AP34" s="22"/>
      <c r="AQ34" s="22"/>
    </row>
    <row r="35" spans="1:43" s="647" customFormat="1" ht="15" customHeight="1" x14ac:dyDescent="0.25">
      <c r="A35" s="681"/>
      <c r="B35" s="681"/>
      <c r="C35" s="681"/>
      <c r="D35" s="681"/>
      <c r="E35" s="681"/>
      <c r="F35" s="681"/>
      <c r="G35" s="681"/>
      <c r="H35" s="681"/>
      <c r="AK35" s="22"/>
      <c r="AL35" s="22"/>
      <c r="AM35" s="22"/>
      <c r="AN35" s="22"/>
      <c r="AO35" s="22"/>
      <c r="AP35" s="22"/>
      <c r="AQ35" s="22"/>
    </row>
    <row r="36" spans="1:43" s="647" customFormat="1" ht="15" customHeight="1" x14ac:dyDescent="0.25">
      <c r="A36" s="681"/>
      <c r="B36" s="681"/>
      <c r="C36" s="681"/>
      <c r="D36" s="681"/>
      <c r="E36" s="681"/>
      <c r="F36" s="681"/>
      <c r="G36" s="681"/>
      <c r="H36" s="681"/>
      <c r="AK36" s="22"/>
      <c r="AL36" s="22"/>
      <c r="AM36" s="22"/>
      <c r="AN36" s="22"/>
      <c r="AO36" s="22"/>
      <c r="AP36" s="22"/>
      <c r="AQ36" s="22"/>
    </row>
    <row r="37" spans="1:43" s="647" customFormat="1" ht="15" customHeight="1" x14ac:dyDescent="0.25">
      <c r="A37" s="681"/>
      <c r="B37" s="681"/>
      <c r="C37" s="681"/>
      <c r="D37" s="681"/>
      <c r="E37" s="681"/>
      <c r="F37" s="681"/>
      <c r="G37" s="681"/>
      <c r="H37" s="681"/>
      <c r="AK37" s="22"/>
      <c r="AL37" s="22"/>
      <c r="AM37" s="22"/>
      <c r="AN37" s="22"/>
      <c r="AO37" s="22"/>
      <c r="AP37" s="22"/>
      <c r="AQ37" s="22"/>
    </row>
    <row r="38" spans="1:43" s="647" customFormat="1" ht="15" customHeight="1" x14ac:dyDescent="0.25">
      <c r="A38" s="681"/>
      <c r="B38" s="681"/>
      <c r="C38" s="681"/>
      <c r="D38" s="681"/>
      <c r="E38" s="681"/>
      <c r="F38" s="681"/>
      <c r="G38" s="681"/>
      <c r="H38" s="681"/>
      <c r="AK38" s="22"/>
      <c r="AL38" s="22"/>
      <c r="AM38" s="22"/>
      <c r="AN38" s="22"/>
      <c r="AO38" s="22"/>
      <c r="AP38" s="22"/>
      <c r="AQ38" s="22"/>
    </row>
    <row r="39" spans="1:43" s="647" customFormat="1" ht="15" customHeight="1" x14ac:dyDescent="0.25">
      <c r="A39" s="681"/>
      <c r="B39" s="681"/>
      <c r="C39" s="681"/>
      <c r="D39" s="681"/>
      <c r="E39" s="681"/>
      <c r="F39" s="681"/>
      <c r="G39" s="681"/>
      <c r="H39" s="681"/>
      <c r="AK39" s="22"/>
      <c r="AL39" s="22"/>
      <c r="AM39" s="22"/>
      <c r="AN39" s="22"/>
      <c r="AO39" s="22"/>
      <c r="AP39" s="22"/>
      <c r="AQ39" s="22"/>
    </row>
    <row r="40" spans="1:43" s="647" customFormat="1" ht="15" customHeight="1" x14ac:dyDescent="0.25">
      <c r="A40" s="681"/>
      <c r="B40" s="681"/>
      <c r="C40" s="681"/>
      <c r="D40" s="681"/>
      <c r="E40" s="681"/>
      <c r="F40" s="681"/>
      <c r="G40" s="681"/>
      <c r="H40" s="681"/>
      <c r="AK40" s="22"/>
      <c r="AL40" s="22"/>
      <c r="AM40" s="22"/>
      <c r="AN40" s="22"/>
      <c r="AO40" s="22"/>
      <c r="AP40" s="22"/>
      <c r="AQ40" s="22"/>
    </row>
    <row r="41" spans="1:43" s="647" customFormat="1" ht="15" customHeight="1" x14ac:dyDescent="0.25">
      <c r="A41" s="681"/>
      <c r="B41" s="681"/>
      <c r="C41" s="681"/>
      <c r="D41" s="681"/>
      <c r="E41" s="681"/>
      <c r="F41" s="681"/>
      <c r="G41" s="681"/>
      <c r="H41" s="681"/>
      <c r="AK41" s="22"/>
      <c r="AL41" s="22"/>
      <c r="AM41" s="22"/>
      <c r="AN41" s="22"/>
      <c r="AO41" s="22"/>
      <c r="AP41" s="22"/>
      <c r="AQ41" s="22"/>
    </row>
    <row r="42" spans="1:43" s="647" customFormat="1" ht="15" customHeight="1" x14ac:dyDescent="0.25">
      <c r="A42" s="681"/>
      <c r="B42" s="681"/>
      <c r="C42" s="681"/>
      <c r="D42" s="681"/>
      <c r="E42" s="681"/>
      <c r="F42" s="681"/>
      <c r="G42" s="681"/>
      <c r="H42" s="681"/>
      <c r="AK42" s="22"/>
      <c r="AL42" s="22"/>
      <c r="AM42" s="22"/>
      <c r="AN42" s="22"/>
      <c r="AO42" s="22"/>
      <c r="AP42" s="22"/>
      <c r="AQ42" s="22"/>
    </row>
    <row r="43" spans="1:43" s="647" customFormat="1" ht="15" customHeight="1" x14ac:dyDescent="0.25">
      <c r="A43" s="681"/>
      <c r="B43" s="681"/>
      <c r="C43" s="681"/>
      <c r="D43" s="681"/>
      <c r="E43" s="681"/>
      <c r="F43" s="681"/>
      <c r="G43" s="681"/>
      <c r="H43" s="681"/>
      <c r="AK43" s="22"/>
      <c r="AL43" s="22"/>
      <c r="AM43" s="22"/>
      <c r="AN43" s="22"/>
      <c r="AO43" s="22"/>
      <c r="AP43" s="22"/>
      <c r="AQ43" s="22"/>
    </row>
    <row r="44" spans="1:43" s="647" customFormat="1" ht="15" customHeight="1" x14ac:dyDescent="0.25">
      <c r="A44" s="681"/>
      <c r="B44" s="681"/>
      <c r="C44" s="681"/>
      <c r="D44" s="681"/>
      <c r="E44" s="681"/>
      <c r="F44" s="681"/>
      <c r="G44" s="681"/>
      <c r="H44" s="681"/>
      <c r="AK44" s="22"/>
      <c r="AL44" s="22"/>
      <c r="AM44" s="22"/>
      <c r="AN44" s="22"/>
      <c r="AO44" s="22"/>
      <c r="AP44" s="22"/>
      <c r="AQ44" s="22"/>
    </row>
    <row r="45" spans="1:43" s="647" customFormat="1" ht="15" customHeight="1" x14ac:dyDescent="0.25">
      <c r="A45" s="681"/>
      <c r="B45" s="681"/>
      <c r="C45" s="681"/>
      <c r="D45" s="681"/>
      <c r="E45" s="681"/>
      <c r="F45" s="681"/>
      <c r="G45" s="681"/>
      <c r="H45" s="681"/>
      <c r="AK45" s="22"/>
      <c r="AL45" s="22"/>
      <c r="AM45" s="22"/>
      <c r="AN45" s="22"/>
      <c r="AO45" s="22"/>
      <c r="AP45" s="22"/>
      <c r="AQ45" s="22"/>
    </row>
    <row r="46" spans="1:43" s="647" customFormat="1" ht="15" customHeight="1" x14ac:dyDescent="0.25">
      <c r="A46" s="681"/>
      <c r="B46" s="681"/>
      <c r="C46" s="681"/>
      <c r="D46" s="681"/>
      <c r="E46" s="681"/>
      <c r="F46" s="681"/>
      <c r="G46" s="681"/>
      <c r="H46" s="681"/>
      <c r="AK46" s="22"/>
      <c r="AL46" s="22"/>
      <c r="AM46" s="22"/>
      <c r="AN46" s="22"/>
      <c r="AO46" s="22"/>
      <c r="AP46" s="22"/>
      <c r="AQ46" s="22"/>
    </row>
    <row r="47" spans="1:43" s="647" customFormat="1" ht="15" customHeight="1" thickBot="1" x14ac:dyDescent="0.3">
      <c r="A47" s="681"/>
      <c r="B47" s="681"/>
      <c r="C47" s="681"/>
      <c r="D47" s="681"/>
      <c r="E47" s="681"/>
      <c r="F47" s="681"/>
      <c r="G47" s="681"/>
      <c r="H47" s="681"/>
      <c r="AK47" s="22"/>
      <c r="AL47" s="22"/>
      <c r="AM47" s="22"/>
      <c r="AN47" s="22"/>
      <c r="AO47" s="22"/>
      <c r="AP47" s="22"/>
      <c r="AQ47" s="22"/>
    </row>
    <row r="48" spans="1:43" s="647" customFormat="1" x14ac:dyDescent="0.25">
      <c r="A48" s="699"/>
      <c r="B48" s="700"/>
      <c r="C48" s="803"/>
      <c r="D48" s="803"/>
      <c r="E48" s="803"/>
      <c r="F48" s="803"/>
      <c r="G48" s="850" t="s">
        <v>504</v>
      </c>
      <c r="H48" s="851"/>
      <c r="I48" s="851"/>
      <c r="J48" s="851"/>
      <c r="K48" s="851"/>
      <c r="L48" s="851"/>
      <c r="M48" s="665"/>
      <c r="AK48" s="22"/>
      <c r="AL48" s="22"/>
      <c r="AM48" s="22"/>
      <c r="AN48" s="22"/>
      <c r="AO48" s="22"/>
      <c r="AP48" s="22"/>
      <c r="AQ48" s="22"/>
    </row>
    <row r="49" spans="1:43" ht="52.5" customHeight="1" thickBot="1" x14ac:dyDescent="0.3">
      <c r="A49" s="696" t="s">
        <v>568</v>
      </c>
      <c r="B49" s="697" t="s">
        <v>0</v>
      </c>
      <c r="C49" s="698" t="s">
        <v>501</v>
      </c>
      <c r="D49" s="698" t="s">
        <v>457</v>
      </c>
      <c r="E49" s="698" t="s">
        <v>484</v>
      </c>
      <c r="F49" s="698" t="s">
        <v>12</v>
      </c>
      <c r="G49" s="698" t="s">
        <v>502</v>
      </c>
      <c r="H49" s="698" t="s">
        <v>496</v>
      </c>
      <c r="I49" s="698" t="s">
        <v>503</v>
      </c>
      <c r="J49" s="698" t="s">
        <v>600</v>
      </c>
      <c r="K49" s="698" t="s">
        <v>505</v>
      </c>
      <c r="L49" s="698" t="s">
        <v>506</v>
      </c>
      <c r="M49" s="701" t="s">
        <v>470</v>
      </c>
      <c r="AQ49" s="669"/>
    </row>
    <row r="50" spans="1:43" ht="84" customHeight="1" x14ac:dyDescent="0.3">
      <c r="A50" s="826" t="s">
        <v>619</v>
      </c>
      <c r="B50" s="827"/>
      <c r="C50" s="838" t="s">
        <v>621</v>
      </c>
      <c r="D50" s="838"/>
      <c r="E50" s="838"/>
      <c r="F50" s="764"/>
      <c r="G50" s="765"/>
      <c r="H50" s="765"/>
      <c r="I50" s="765"/>
      <c r="J50" s="765"/>
      <c r="K50" s="765"/>
      <c r="L50" s="765"/>
      <c r="M50" s="766"/>
    </row>
    <row r="51" spans="1:43" ht="29.25" customHeight="1" x14ac:dyDescent="0.25">
      <c r="A51" s="684" t="s">
        <v>493</v>
      </c>
      <c r="B51" s="715" t="s">
        <v>436</v>
      </c>
      <c r="C51" s="715" t="s">
        <v>1</v>
      </c>
      <c r="D51" s="655" t="s">
        <v>572</v>
      </c>
      <c r="E51" s="654">
        <v>44576</v>
      </c>
      <c r="F51" s="673" t="s">
        <v>437</v>
      </c>
      <c r="G51" s="692">
        <v>27.4</v>
      </c>
      <c r="H51" s="693">
        <v>3.6375000000000002</v>
      </c>
      <c r="I51" s="693"/>
      <c r="J51" s="693">
        <v>-2.9953E-2</v>
      </c>
      <c r="K51" s="688"/>
      <c r="L51" s="688"/>
      <c r="M51" s="689" t="s">
        <v>485</v>
      </c>
      <c r="P51" s="545"/>
      <c r="AK51" s="669"/>
      <c r="AL51" s="669"/>
      <c r="AM51" s="669"/>
      <c r="AN51" s="669"/>
      <c r="AO51" s="584"/>
    </row>
    <row r="52" spans="1:43" ht="27.6" x14ac:dyDescent="0.25">
      <c r="A52" s="704" t="s">
        <v>493</v>
      </c>
      <c r="B52" s="705" t="s">
        <v>434</v>
      </c>
      <c r="C52" s="705" t="s">
        <v>434</v>
      </c>
      <c r="D52" s="706" t="s">
        <v>489</v>
      </c>
      <c r="E52" s="707">
        <v>44576</v>
      </c>
      <c r="F52" s="708" t="s">
        <v>437</v>
      </c>
      <c r="G52" s="709">
        <v>26.85</v>
      </c>
      <c r="H52" s="710">
        <v>3.5225</v>
      </c>
      <c r="I52" s="710"/>
      <c r="J52" s="710">
        <v>-2.9006000000000001E-2</v>
      </c>
      <c r="K52" s="711"/>
      <c r="L52" s="711"/>
      <c r="M52" s="712" t="s">
        <v>486</v>
      </c>
      <c r="N52" s="545"/>
    </row>
    <row r="53" spans="1:43" ht="27.6" x14ac:dyDescent="0.25">
      <c r="A53" s="684" t="s">
        <v>493</v>
      </c>
      <c r="B53" s="715" t="s">
        <v>435</v>
      </c>
      <c r="C53" s="653" t="s">
        <v>454</v>
      </c>
      <c r="D53" s="655" t="s">
        <v>615</v>
      </c>
      <c r="E53" s="654">
        <v>46296</v>
      </c>
      <c r="F53" s="673" t="s">
        <v>25</v>
      </c>
      <c r="G53" s="756">
        <v>40.880000000000003</v>
      </c>
      <c r="H53" s="757">
        <v>15.725</v>
      </c>
      <c r="I53" s="757"/>
      <c r="J53" s="757">
        <v>-1.339</v>
      </c>
      <c r="K53" s="758"/>
      <c r="L53" s="758"/>
      <c r="M53" s="759" t="s">
        <v>486</v>
      </c>
      <c r="N53" s="545"/>
    </row>
    <row r="54" spans="1:43" ht="13.8" customHeight="1" x14ac:dyDescent="0.25">
      <c r="A54" s="833" t="s">
        <v>491</v>
      </c>
      <c r="B54" s="834"/>
      <c r="C54" s="762"/>
      <c r="D54" s="763"/>
      <c r="E54" s="763"/>
      <c r="F54" s="835" t="s">
        <v>459</v>
      </c>
      <c r="G54" s="713">
        <f>+G52+G53+G51</f>
        <v>95.13</v>
      </c>
      <c r="H54" s="711">
        <f>+H52+H53+H51</f>
        <v>22.884999999999998</v>
      </c>
      <c r="I54" s="711"/>
      <c r="J54" s="711">
        <f>+J53+J52+J51</f>
        <v>-1.397959</v>
      </c>
      <c r="K54" s="711"/>
      <c r="L54" s="711"/>
      <c r="M54" s="761"/>
      <c r="N54" s="545"/>
    </row>
    <row r="55" spans="1:43" s="647" customFormat="1" ht="27.6" x14ac:dyDescent="0.25">
      <c r="A55" s="684" t="s">
        <v>471</v>
      </c>
      <c r="B55" s="715" t="s">
        <v>587</v>
      </c>
      <c r="C55" s="653" t="s">
        <v>455</v>
      </c>
      <c r="D55" s="655" t="s">
        <v>530</v>
      </c>
      <c r="E55" s="654" t="s">
        <v>594</v>
      </c>
      <c r="F55" s="653" t="s">
        <v>197</v>
      </c>
      <c r="G55" s="760">
        <v>18.96</v>
      </c>
      <c r="H55" s="757">
        <v>17.68</v>
      </c>
      <c r="I55" s="757">
        <v>21.71</v>
      </c>
      <c r="J55" s="757">
        <f>+I55-H55</f>
        <v>4.0300000000000011</v>
      </c>
      <c r="K55" s="758"/>
      <c r="L55" s="758"/>
      <c r="M55" s="759" t="s">
        <v>565</v>
      </c>
      <c r="N55" s="545"/>
      <c r="X55" s="749"/>
      <c r="AK55" s="671"/>
      <c r="AL55" s="671"/>
      <c r="AM55" s="671"/>
      <c r="AN55" s="671"/>
      <c r="AO55" s="671"/>
      <c r="AP55" s="671"/>
      <c r="AQ55" s="22"/>
    </row>
    <row r="56" spans="1:43" s="647" customFormat="1" ht="13.8" x14ac:dyDescent="0.25">
      <c r="A56" s="726"/>
      <c r="B56" s="727"/>
      <c r="C56" s="706"/>
      <c r="D56" s="706"/>
      <c r="E56" s="706"/>
      <c r="F56" s="832" t="s">
        <v>460</v>
      </c>
      <c r="G56" s="713">
        <f>+G54+G55</f>
        <v>114.09</v>
      </c>
      <c r="H56" s="711">
        <f>+H54+H55</f>
        <v>40.564999999999998</v>
      </c>
      <c r="I56" s="711"/>
      <c r="J56" s="711">
        <f>+J54+J55</f>
        <v>2.632041000000001</v>
      </c>
      <c r="K56" s="711"/>
      <c r="L56" s="711"/>
      <c r="M56" s="761"/>
      <c r="N56" s="545"/>
      <c r="AK56" s="671"/>
      <c r="AL56" s="671"/>
      <c r="AM56" s="671"/>
      <c r="AN56" s="671"/>
      <c r="AO56" s="671"/>
      <c r="AP56" s="671"/>
      <c r="AQ56" s="22"/>
    </row>
    <row r="57" spans="1:43" s="647" customFormat="1" ht="84" customHeight="1" x14ac:dyDescent="0.3">
      <c r="A57" s="828" t="s">
        <v>490</v>
      </c>
      <c r="B57" s="829"/>
      <c r="C57" s="837" t="s">
        <v>620</v>
      </c>
      <c r="D57" s="831"/>
      <c r="E57" s="831"/>
      <c r="F57" s="675"/>
      <c r="G57" s="657"/>
      <c r="H57" s="658"/>
      <c r="I57" s="658"/>
      <c r="J57" s="656"/>
      <c r="K57" s="656"/>
      <c r="L57" s="656"/>
      <c r="M57" s="686"/>
      <c r="N57" s="545"/>
      <c r="AK57" s="671"/>
      <c r="AL57" s="671"/>
      <c r="AM57" s="671"/>
      <c r="AN57" s="671"/>
      <c r="AO57" s="671"/>
      <c r="AP57" s="671"/>
      <c r="AQ57" s="22"/>
    </row>
    <row r="58" spans="1:43" s="545" customFormat="1" ht="29.25" customHeight="1" x14ac:dyDescent="0.25">
      <c r="A58" s="704" t="s">
        <v>471</v>
      </c>
      <c r="B58" s="725" t="s">
        <v>449</v>
      </c>
      <c r="C58" s="705" t="s">
        <v>473</v>
      </c>
      <c r="D58" s="706" t="s">
        <v>530</v>
      </c>
      <c r="E58" s="706" t="s">
        <v>595</v>
      </c>
      <c r="F58" s="705" t="s">
        <v>197</v>
      </c>
      <c r="G58" s="713">
        <v>16.079999999999998</v>
      </c>
      <c r="H58" s="710">
        <v>14.38</v>
      </c>
      <c r="I58" s="710">
        <v>21.06</v>
      </c>
      <c r="J58" s="710">
        <f t="shared" ref="J58:J68" si="0">+I58-H58</f>
        <v>6.6799999999999979</v>
      </c>
      <c r="K58" s="711">
        <v>10</v>
      </c>
      <c r="L58" s="711">
        <v>1</v>
      </c>
      <c r="M58" s="714" t="s">
        <v>452</v>
      </c>
      <c r="P58" s="795"/>
      <c r="AK58" s="671"/>
      <c r="AL58" s="671"/>
      <c r="AM58" s="671"/>
      <c r="AN58" s="671"/>
      <c r="AO58" s="671"/>
      <c r="AP58" s="671"/>
      <c r="AQ58" s="584"/>
    </row>
    <row r="59" spans="1:43" s="545" customFormat="1" ht="27.6" x14ac:dyDescent="0.25">
      <c r="A59" s="684" t="s">
        <v>471</v>
      </c>
      <c r="B59" s="715" t="s">
        <v>488</v>
      </c>
      <c r="C59" s="673" t="s">
        <v>592</v>
      </c>
      <c r="D59" s="655" t="s">
        <v>615</v>
      </c>
      <c r="E59" s="655" t="s">
        <v>596</v>
      </c>
      <c r="F59" s="653" t="s">
        <v>197</v>
      </c>
      <c r="G59" s="687">
        <v>1.1100000000000001</v>
      </c>
      <c r="H59" s="693">
        <v>0.8</v>
      </c>
      <c r="I59" s="693">
        <v>1.2</v>
      </c>
      <c r="J59" s="693">
        <f t="shared" si="0"/>
        <v>0.39999999999999991</v>
      </c>
      <c r="K59" s="688">
        <v>2.5</v>
      </c>
      <c r="L59" s="688">
        <v>2.5</v>
      </c>
      <c r="M59" s="689" t="s">
        <v>440</v>
      </c>
      <c r="W59" s="584"/>
      <c r="X59" s="584"/>
      <c r="Y59" s="584"/>
      <c r="Z59" s="584"/>
      <c r="AA59" s="584"/>
      <c r="AB59" s="584"/>
      <c r="AC59" s="669"/>
      <c r="AD59" s="584"/>
      <c r="AE59" s="584"/>
      <c r="AF59" s="584"/>
      <c r="AG59" s="584"/>
      <c r="AH59" s="584"/>
      <c r="AI59" s="584"/>
      <c r="AJ59" s="669"/>
      <c r="AK59" s="22"/>
      <c r="AL59" s="22"/>
      <c r="AM59" s="22"/>
      <c r="AN59" s="22"/>
      <c r="AO59" s="22"/>
      <c r="AP59" s="22"/>
      <c r="AQ59" s="584"/>
    </row>
    <row r="60" spans="1:43" s="545" customFormat="1" ht="27.6" x14ac:dyDescent="0.25">
      <c r="A60" s="704" t="s">
        <v>471</v>
      </c>
      <c r="B60" s="725" t="s">
        <v>465</v>
      </c>
      <c r="C60" s="708" t="s">
        <v>466</v>
      </c>
      <c r="D60" s="706" t="s">
        <v>468</v>
      </c>
      <c r="E60" s="706">
        <v>2022</v>
      </c>
      <c r="F60" s="705" t="s">
        <v>197</v>
      </c>
      <c r="G60" s="713">
        <v>4.93</v>
      </c>
      <c r="H60" s="710">
        <v>3.08</v>
      </c>
      <c r="I60" s="710">
        <v>5.16</v>
      </c>
      <c r="J60" s="710">
        <f t="shared" si="0"/>
        <v>2.08</v>
      </c>
      <c r="K60" s="711">
        <v>3</v>
      </c>
      <c r="L60" s="711">
        <v>3</v>
      </c>
      <c r="M60" s="714" t="s">
        <v>452</v>
      </c>
      <c r="W60" s="584"/>
      <c r="X60" s="584"/>
      <c r="Y60" s="584"/>
      <c r="Z60" s="584"/>
      <c r="AA60" s="584"/>
      <c r="AB60" s="584"/>
      <c r="AC60" s="584"/>
      <c r="AD60" s="584"/>
      <c r="AE60" s="584"/>
      <c r="AF60" s="671"/>
      <c r="AG60" s="671"/>
      <c r="AH60" s="671"/>
      <c r="AI60" s="671"/>
      <c r="AJ60" s="671"/>
      <c r="AK60" s="671"/>
      <c r="AL60" s="671"/>
      <c r="AM60" s="22"/>
      <c r="AN60" s="22"/>
      <c r="AO60" s="22"/>
      <c r="AP60" s="22"/>
      <c r="AQ60" s="584"/>
    </row>
    <row r="61" spans="1:43" s="545" customFormat="1" ht="27.6" x14ac:dyDescent="0.25">
      <c r="A61" s="684" t="s">
        <v>471</v>
      </c>
      <c r="B61" s="653" t="s">
        <v>549</v>
      </c>
      <c r="C61" s="750" t="s">
        <v>553</v>
      </c>
      <c r="D61" s="655" t="s">
        <v>572</v>
      </c>
      <c r="E61" s="655" t="s">
        <v>588</v>
      </c>
      <c r="F61" s="653" t="s">
        <v>197</v>
      </c>
      <c r="G61" s="687">
        <v>17.14</v>
      </c>
      <c r="H61" s="693">
        <v>17.14</v>
      </c>
      <c r="I61" s="693">
        <v>21.53</v>
      </c>
      <c r="J61" s="693">
        <f t="shared" ref="J61" si="1">+I61-H61</f>
        <v>4.3900000000000006</v>
      </c>
      <c r="K61" s="688">
        <v>5</v>
      </c>
      <c r="L61" s="751" t="s">
        <v>380</v>
      </c>
      <c r="M61" s="689" t="s">
        <v>469</v>
      </c>
      <c r="W61" s="584"/>
      <c r="X61" s="584"/>
      <c r="Y61" s="584"/>
      <c r="Z61" s="584"/>
      <c r="AA61" s="584"/>
      <c r="AB61" s="584"/>
      <c r="AC61" s="584"/>
      <c r="AD61" s="584"/>
      <c r="AE61" s="584"/>
      <c r="AF61" s="671"/>
      <c r="AG61" s="671"/>
      <c r="AH61" s="671"/>
      <c r="AI61" s="671"/>
      <c r="AJ61" s="671"/>
      <c r="AK61" s="671"/>
      <c r="AL61" s="671"/>
      <c r="AM61" s="22"/>
      <c r="AN61" s="22"/>
      <c r="AO61" s="22"/>
      <c r="AP61" s="22"/>
      <c r="AQ61" s="584"/>
    </row>
    <row r="62" spans="1:43" s="545" customFormat="1" ht="27.6" x14ac:dyDescent="0.25">
      <c r="A62" s="704" t="s">
        <v>471</v>
      </c>
      <c r="B62" s="725" t="s">
        <v>443</v>
      </c>
      <c r="C62" s="708" t="s">
        <v>443</v>
      </c>
      <c r="D62" s="706" t="s">
        <v>574</v>
      </c>
      <c r="E62" s="706">
        <v>2023</v>
      </c>
      <c r="F62" s="705" t="s">
        <v>197</v>
      </c>
      <c r="G62" s="713">
        <v>2.54</v>
      </c>
      <c r="H62" s="710">
        <v>2.54</v>
      </c>
      <c r="I62" s="710">
        <v>3.69</v>
      </c>
      <c r="J62" s="710">
        <f t="shared" si="0"/>
        <v>1.1499999999999999</v>
      </c>
      <c r="K62" s="711">
        <v>5</v>
      </c>
      <c r="L62" s="711"/>
      <c r="M62" s="714" t="s">
        <v>469</v>
      </c>
      <c r="W62" s="584"/>
      <c r="X62" s="584"/>
      <c r="Y62" s="584"/>
      <c r="Z62" s="584"/>
      <c r="AA62" s="584"/>
      <c r="AB62" s="584"/>
      <c r="AC62" s="584"/>
      <c r="AD62" s="584"/>
      <c r="AE62" s="584"/>
      <c r="AF62" s="750"/>
      <c r="AG62" s="750"/>
      <c r="AH62" s="750"/>
      <c r="AI62" s="750"/>
      <c r="AJ62" s="750"/>
      <c r="AK62" s="750"/>
      <c r="AL62" s="750"/>
      <c r="AM62" s="584"/>
      <c r="AN62" s="584"/>
      <c r="AO62" s="584"/>
      <c r="AP62" s="584"/>
      <c r="AQ62" s="584"/>
    </row>
    <row r="63" spans="1:43" s="545" customFormat="1" ht="27.6" x14ac:dyDescent="0.25">
      <c r="A63" s="684" t="s">
        <v>471</v>
      </c>
      <c r="B63" s="715" t="s">
        <v>571</v>
      </c>
      <c r="C63" s="673" t="s">
        <v>569</v>
      </c>
      <c r="D63" s="655" t="s">
        <v>387</v>
      </c>
      <c r="E63" s="655" t="s">
        <v>570</v>
      </c>
      <c r="F63" s="653" t="s">
        <v>198</v>
      </c>
      <c r="G63" s="687">
        <v>0.25</v>
      </c>
      <c r="H63" s="693">
        <v>0.25</v>
      </c>
      <c r="I63" s="693">
        <v>0.38</v>
      </c>
      <c r="J63" s="693">
        <f t="shared" si="0"/>
        <v>0.13</v>
      </c>
      <c r="K63" s="688">
        <v>0.5</v>
      </c>
      <c r="L63" s="688">
        <v>0.1</v>
      </c>
      <c r="M63" s="685" t="s">
        <v>446</v>
      </c>
      <c r="W63" s="584"/>
      <c r="X63" s="748"/>
      <c r="Y63" s="584"/>
      <c r="Z63" s="584"/>
      <c r="AA63" s="584"/>
      <c r="AB63" s="584"/>
      <c r="AC63" s="584"/>
      <c r="AD63" s="584"/>
      <c r="AE63" s="584"/>
      <c r="AF63" s="584"/>
      <c r="AG63" s="752"/>
      <c r="AH63" s="752"/>
      <c r="AI63" s="752"/>
      <c r="AJ63" s="752"/>
      <c r="AK63" s="752"/>
      <c r="AL63" s="752"/>
      <c r="AM63" s="584"/>
      <c r="AN63" s="584"/>
      <c r="AO63" s="584"/>
      <c r="AP63" s="584"/>
      <c r="AQ63" s="584"/>
    </row>
    <row r="64" spans="1:43" s="545" customFormat="1" ht="27.6" x14ac:dyDescent="0.25">
      <c r="A64" s="704" t="s">
        <v>471</v>
      </c>
      <c r="B64" s="725" t="s">
        <v>442</v>
      </c>
      <c r="C64" s="708" t="s">
        <v>442</v>
      </c>
      <c r="D64" s="706" t="s">
        <v>573</v>
      </c>
      <c r="E64" s="706"/>
      <c r="F64" s="705" t="s">
        <v>198</v>
      </c>
      <c r="G64" s="713">
        <v>0</v>
      </c>
      <c r="H64" s="710">
        <v>0</v>
      </c>
      <c r="I64" s="710">
        <v>0</v>
      </c>
      <c r="J64" s="710">
        <f t="shared" si="0"/>
        <v>0</v>
      </c>
      <c r="K64" s="711">
        <v>5</v>
      </c>
      <c r="L64" s="711"/>
      <c r="M64" s="714" t="s">
        <v>446</v>
      </c>
      <c r="W64" s="584"/>
      <c r="X64" s="748"/>
      <c r="Y64" s="584"/>
      <c r="Z64" s="584"/>
      <c r="AA64" s="584"/>
      <c r="AB64" s="584"/>
      <c r="AC64" s="584"/>
      <c r="AD64" s="584"/>
      <c r="AE64" s="584"/>
      <c r="AF64" s="584"/>
      <c r="AG64" s="752"/>
      <c r="AH64" s="752"/>
      <c r="AI64" s="752"/>
      <c r="AJ64" s="752"/>
      <c r="AK64" s="752"/>
      <c r="AL64" s="752"/>
      <c r="AM64" s="584"/>
      <c r="AN64" s="584"/>
      <c r="AO64" s="584"/>
      <c r="AP64" s="584"/>
      <c r="AQ64" s="584"/>
    </row>
    <row r="65" spans="1:43" s="545" customFormat="1" ht="27.6" x14ac:dyDescent="0.25">
      <c r="A65" s="684" t="s">
        <v>471</v>
      </c>
      <c r="B65" s="715" t="s">
        <v>549</v>
      </c>
      <c r="C65" s="715" t="s">
        <v>553</v>
      </c>
      <c r="D65" s="655" t="s">
        <v>572</v>
      </c>
      <c r="E65" s="655" t="s">
        <v>597</v>
      </c>
      <c r="F65" s="653" t="s">
        <v>198</v>
      </c>
      <c r="G65" s="687">
        <v>0.36</v>
      </c>
      <c r="H65" s="693">
        <v>0.14000000000000001</v>
      </c>
      <c r="I65" s="693">
        <v>0.23</v>
      </c>
      <c r="J65" s="693">
        <f t="shared" si="0"/>
        <v>0.09</v>
      </c>
      <c r="K65" s="688">
        <v>5</v>
      </c>
      <c r="L65" s="688" t="s">
        <v>380</v>
      </c>
      <c r="M65" s="685" t="s">
        <v>469</v>
      </c>
      <c r="W65" s="584"/>
      <c r="X65" s="584"/>
      <c r="Y65" s="584"/>
      <c r="Z65" s="584"/>
      <c r="AA65" s="584"/>
      <c r="AB65" s="584"/>
      <c r="AC65" s="584"/>
      <c r="AD65" s="584"/>
      <c r="AE65" s="584"/>
      <c r="AF65" s="750"/>
      <c r="AG65" s="750"/>
      <c r="AH65" s="750"/>
      <c r="AI65" s="750"/>
      <c r="AJ65" s="750"/>
      <c r="AK65" s="750"/>
      <c r="AL65" s="750"/>
      <c r="AM65" s="584"/>
      <c r="AN65" s="584"/>
      <c r="AO65" s="584"/>
      <c r="AP65" s="584"/>
      <c r="AQ65" s="584"/>
    </row>
    <row r="66" spans="1:43" s="545" customFormat="1" ht="27.6" x14ac:dyDescent="0.25">
      <c r="A66" s="704" t="s">
        <v>471</v>
      </c>
      <c r="B66" s="705" t="s">
        <v>451</v>
      </c>
      <c r="C66" s="705" t="s">
        <v>542</v>
      </c>
      <c r="D66" s="706" t="s">
        <v>489</v>
      </c>
      <c r="E66" s="706">
        <v>2022</v>
      </c>
      <c r="F66" s="705" t="s">
        <v>198</v>
      </c>
      <c r="G66" s="713">
        <v>0.36</v>
      </c>
      <c r="H66" s="710">
        <v>0.06</v>
      </c>
      <c r="I66" s="710">
        <v>0.11</v>
      </c>
      <c r="J66" s="710">
        <f t="shared" si="0"/>
        <v>0.05</v>
      </c>
      <c r="K66" s="711">
        <v>2.5</v>
      </c>
      <c r="L66" s="787">
        <v>2.5000000000000001E-2</v>
      </c>
      <c r="M66" s="712" t="s">
        <v>541</v>
      </c>
      <c r="W66" s="584"/>
      <c r="X66" s="748"/>
      <c r="Y66" s="584"/>
      <c r="Z66" s="584"/>
      <c r="AA66" s="584"/>
      <c r="AB66" s="584"/>
      <c r="AC66" s="584"/>
      <c r="AD66" s="584"/>
      <c r="AE66" s="584"/>
      <c r="AF66" s="584"/>
      <c r="AG66" s="584"/>
      <c r="AH66" s="584"/>
      <c r="AI66" s="584"/>
      <c r="AJ66" s="584"/>
      <c r="AK66" s="753"/>
      <c r="AL66" s="753"/>
      <c r="AM66" s="753"/>
      <c r="AN66" s="753"/>
      <c r="AO66" s="753"/>
      <c r="AP66" s="753"/>
      <c r="AQ66" s="584"/>
    </row>
    <row r="67" spans="1:43" s="635" customFormat="1" ht="27.6" x14ac:dyDescent="0.25">
      <c r="A67" s="684" t="s">
        <v>471</v>
      </c>
      <c r="B67" s="715" t="s">
        <v>443</v>
      </c>
      <c r="C67" s="673" t="s">
        <v>443</v>
      </c>
      <c r="D67" s="655" t="s">
        <v>574</v>
      </c>
      <c r="E67" s="655" t="s">
        <v>595</v>
      </c>
      <c r="F67" s="653" t="s">
        <v>198</v>
      </c>
      <c r="G67" s="687">
        <v>0.34</v>
      </c>
      <c r="H67" s="693">
        <v>0.27</v>
      </c>
      <c r="I67" s="693">
        <v>0.39</v>
      </c>
      <c r="J67" s="693">
        <f t="shared" si="0"/>
        <v>0.12</v>
      </c>
      <c r="K67" s="688">
        <v>5</v>
      </c>
      <c r="L67" s="688"/>
      <c r="M67" s="685" t="s">
        <v>469</v>
      </c>
      <c r="W67" s="752"/>
      <c r="X67" s="752"/>
      <c r="Y67" s="752"/>
      <c r="Z67" s="752"/>
      <c r="AA67" s="752"/>
      <c r="AB67" s="752"/>
      <c r="AC67" s="752"/>
      <c r="AD67" s="752"/>
      <c r="AE67" s="752"/>
      <c r="AF67" s="752"/>
      <c r="AG67" s="750"/>
      <c r="AH67" s="683"/>
      <c r="AI67" s="754"/>
      <c r="AK67" s="672"/>
      <c r="AL67" s="672"/>
      <c r="AM67" s="672"/>
      <c r="AN67" s="672"/>
      <c r="AO67" s="672"/>
      <c r="AP67" s="672"/>
      <c r="AQ67" s="672"/>
    </row>
    <row r="68" spans="1:43" s="635" customFormat="1" ht="27.6" x14ac:dyDescent="0.25">
      <c r="A68" s="704" t="s">
        <v>471</v>
      </c>
      <c r="B68" s="705" t="s">
        <v>461</v>
      </c>
      <c r="C68" s="705" t="s">
        <v>467</v>
      </c>
      <c r="D68" s="706" t="s">
        <v>384</v>
      </c>
      <c r="E68" s="706" t="s">
        <v>598</v>
      </c>
      <c r="F68" s="705" t="s">
        <v>492</v>
      </c>
      <c r="G68" s="713">
        <v>5</v>
      </c>
      <c r="H68" s="710">
        <v>4.68</v>
      </c>
      <c r="I68" s="710">
        <v>4.9400000000000004</v>
      </c>
      <c r="J68" s="710">
        <f t="shared" si="0"/>
        <v>0.26000000000000068</v>
      </c>
      <c r="K68" s="711">
        <v>2.5</v>
      </c>
      <c r="L68" s="711">
        <v>2.5</v>
      </c>
      <c r="M68" s="712" t="s">
        <v>440</v>
      </c>
      <c r="W68" s="752"/>
      <c r="X68" s="752"/>
      <c r="Y68" s="752"/>
      <c r="Z68" s="752"/>
      <c r="AA68" s="752"/>
      <c r="AB68" s="752"/>
      <c r="AC68" s="752"/>
      <c r="AD68" s="752"/>
      <c r="AE68" s="752"/>
      <c r="AF68" s="752"/>
      <c r="AG68" s="750"/>
      <c r="AH68" s="682"/>
      <c r="AI68" s="680"/>
      <c r="AK68" s="672"/>
      <c r="AL68" s="672"/>
      <c r="AM68" s="672"/>
      <c r="AN68" s="672"/>
      <c r="AO68" s="672"/>
      <c r="AP68" s="672"/>
      <c r="AQ68" s="672"/>
    </row>
    <row r="69" spans="1:43" s="635" customFormat="1" ht="13.8" customHeight="1" x14ac:dyDescent="0.25">
      <c r="A69" s="780"/>
      <c r="B69" s="652"/>
      <c r="C69" s="655"/>
      <c r="D69" s="655"/>
      <c r="F69" s="836" t="s">
        <v>552</v>
      </c>
      <c r="G69" s="781">
        <f>+G67+G66+G64+G58+G68+G60+G59+G62+G61+G65+G63</f>
        <v>48.11</v>
      </c>
      <c r="H69" s="782">
        <f>+H67+H66+H64+H58+H68+H60+H59+H62+H61+H65+H63</f>
        <v>43.34</v>
      </c>
      <c r="I69" s="782">
        <f>+I67+I66+I64+I58+I68+I60+I59+I62+I61+I65+I63</f>
        <v>58.69</v>
      </c>
      <c r="J69" s="782">
        <f>+J67+J66+J64+J58+J68+J60+J59+J62+J61+J65+J63</f>
        <v>15.35</v>
      </c>
      <c r="K69" s="782"/>
      <c r="L69" s="782"/>
      <c r="M69" s="783"/>
      <c r="W69" s="667"/>
      <c r="X69" s="667"/>
      <c r="Y69" s="667"/>
      <c r="Z69" s="667"/>
      <c r="AA69" s="667"/>
      <c r="AB69" s="667"/>
      <c r="AC69" s="667"/>
      <c r="AD69" s="667"/>
      <c r="AE69" s="652"/>
      <c r="AF69" s="652"/>
      <c r="AG69" s="683"/>
      <c r="AH69" s="682"/>
      <c r="AI69" s="680"/>
      <c r="AK69" s="672"/>
      <c r="AL69" s="672"/>
      <c r="AM69" s="672"/>
      <c r="AN69" s="672"/>
      <c r="AO69" s="672"/>
      <c r="AP69" s="672"/>
      <c r="AQ69" s="672"/>
    </row>
    <row r="70" spans="1:43" s="635" customFormat="1" ht="17.399999999999999" x14ac:dyDescent="0.25">
      <c r="A70" s="848" t="s">
        <v>544</v>
      </c>
      <c r="B70" s="849"/>
      <c r="C70" s="706"/>
      <c r="D70" s="706"/>
      <c r="E70" s="802"/>
      <c r="F70" s="802"/>
      <c r="G70" s="713"/>
      <c r="H70" s="711"/>
      <c r="I70" s="711"/>
      <c r="J70" s="711"/>
      <c r="K70" s="711"/>
      <c r="L70" s="711"/>
      <c r="M70" s="788"/>
      <c r="W70" s="667"/>
      <c r="X70" s="667"/>
      <c r="Y70" s="667"/>
      <c r="Z70" s="667"/>
      <c r="AA70" s="667"/>
      <c r="AB70" s="667"/>
      <c r="AC70" s="667"/>
      <c r="AD70" s="667"/>
      <c r="AE70" s="652"/>
      <c r="AF70" s="652"/>
      <c r="AG70" s="683"/>
      <c r="AH70" s="682"/>
      <c r="AI70" s="680"/>
      <c r="AK70" s="672"/>
      <c r="AL70" s="672"/>
      <c r="AM70" s="672"/>
      <c r="AN70" s="672"/>
      <c r="AO70" s="672"/>
      <c r="AP70" s="672"/>
      <c r="AQ70" s="672"/>
    </row>
    <row r="71" spans="1:43" s="635" customFormat="1" ht="29.25" customHeight="1" x14ac:dyDescent="0.25">
      <c r="A71" s="784" t="s">
        <v>575</v>
      </c>
      <c r="B71" s="715" t="s">
        <v>547</v>
      </c>
      <c r="C71" s="655"/>
      <c r="D71" s="655"/>
      <c r="E71" s="785">
        <v>46011</v>
      </c>
      <c r="F71" s="786" t="s">
        <v>492</v>
      </c>
      <c r="G71" s="687">
        <v>13.76169</v>
      </c>
      <c r="H71" s="693">
        <v>5.4777639999999996</v>
      </c>
      <c r="I71" s="688"/>
      <c r="J71" s="693">
        <v>-8.0972220000000004</v>
      </c>
      <c r="K71" s="688"/>
      <c r="L71" s="688"/>
      <c r="M71" s="812"/>
      <c r="W71" s="667"/>
      <c r="X71" s="667"/>
      <c r="Y71" s="667"/>
      <c r="Z71" s="667"/>
      <c r="AA71" s="667"/>
      <c r="AB71" s="667"/>
      <c r="AC71" s="667"/>
      <c r="AD71" s="667"/>
      <c r="AE71" s="652"/>
      <c r="AF71" s="652"/>
      <c r="AG71" s="683"/>
      <c r="AH71" s="682"/>
      <c r="AI71" s="680"/>
      <c r="AK71" s="672"/>
      <c r="AL71" s="672"/>
      <c r="AM71" s="672"/>
      <c r="AN71" s="672"/>
      <c r="AO71" s="672"/>
      <c r="AP71" s="672"/>
      <c r="AQ71" s="672"/>
    </row>
    <row r="72" spans="1:43" s="635" customFormat="1" ht="55.5" customHeight="1" x14ac:dyDescent="0.25">
      <c r="A72" s="813" t="s">
        <v>576</v>
      </c>
      <c r="B72" s="725" t="s">
        <v>580</v>
      </c>
      <c r="C72" s="811" t="s">
        <v>578</v>
      </c>
      <c r="D72" s="706" t="s">
        <v>579</v>
      </c>
      <c r="E72" s="805" t="s">
        <v>577</v>
      </c>
      <c r="F72" s="806" t="s">
        <v>492</v>
      </c>
      <c r="G72" s="807">
        <v>17.77</v>
      </c>
      <c r="H72" s="808">
        <v>16.91</v>
      </c>
      <c r="I72" s="808"/>
      <c r="J72" s="809">
        <v>-22.16</v>
      </c>
      <c r="K72" s="808">
        <v>22.2</v>
      </c>
      <c r="L72" s="808">
        <v>4.5</v>
      </c>
      <c r="M72" s="810" t="s">
        <v>589</v>
      </c>
      <c r="W72" s="667"/>
      <c r="X72" s="667"/>
      <c r="Y72" s="667"/>
      <c r="Z72" s="667"/>
      <c r="AA72" s="667"/>
      <c r="AB72" s="667"/>
      <c r="AC72" s="667"/>
      <c r="AD72" s="667"/>
      <c r="AE72" s="652"/>
      <c r="AF72" s="652"/>
      <c r="AG72" s="683"/>
      <c r="AH72" s="682"/>
      <c r="AI72" s="680"/>
      <c r="AK72" s="672"/>
      <c r="AL72" s="672"/>
      <c r="AM72" s="672"/>
      <c r="AN72" s="672"/>
      <c r="AO72" s="672"/>
      <c r="AP72" s="672"/>
      <c r="AQ72" s="672"/>
    </row>
    <row r="73" spans="1:43" s="635" customFormat="1" ht="13.8" customHeight="1" x14ac:dyDescent="0.25">
      <c r="A73" s="784"/>
      <c r="B73" s="715"/>
      <c r="C73" s="804"/>
      <c r="D73" s="655"/>
      <c r="F73" s="836" t="s">
        <v>581</v>
      </c>
      <c r="G73" s="781">
        <f>+G72+G71</f>
        <v>31.531689999999998</v>
      </c>
      <c r="H73" s="782">
        <f>+H72+H71</f>
        <v>22.387764000000001</v>
      </c>
      <c r="I73" s="782"/>
      <c r="J73" s="782">
        <f>+J72+J71</f>
        <v>-30.257221999999999</v>
      </c>
      <c r="K73" s="782"/>
      <c r="L73" s="782"/>
      <c r="M73" s="783"/>
      <c r="W73" s="667"/>
      <c r="X73" s="667"/>
      <c r="Y73" s="667"/>
      <c r="Z73" s="667"/>
      <c r="AA73" s="667"/>
      <c r="AB73" s="667"/>
      <c r="AC73" s="667"/>
      <c r="AD73" s="667"/>
      <c r="AE73" s="652"/>
      <c r="AF73" s="652"/>
      <c r="AG73" s="683"/>
      <c r="AH73" s="682"/>
      <c r="AI73" s="680"/>
      <c r="AK73" s="672"/>
      <c r="AL73" s="672"/>
      <c r="AM73" s="672"/>
      <c r="AN73" s="672"/>
      <c r="AO73" s="672"/>
      <c r="AP73" s="672"/>
      <c r="AQ73" s="672"/>
    </row>
    <row r="74" spans="1:43" s="545" customFormat="1" ht="18" thickBot="1" x14ac:dyDescent="0.35">
      <c r="A74" s="789" t="s">
        <v>85</v>
      </c>
      <c r="B74" s="790"/>
      <c r="C74" s="790"/>
      <c r="D74" s="791"/>
      <c r="E74" s="791"/>
      <c r="F74" s="830" t="s">
        <v>445</v>
      </c>
      <c r="G74" s="792">
        <f>+G69+G56+G73</f>
        <v>193.73168999999999</v>
      </c>
      <c r="H74" s="793">
        <f>+H69+H56+H73</f>
        <v>106.29276400000001</v>
      </c>
      <c r="I74" s="793"/>
      <c r="J74" s="793">
        <f>+J69+J56+J73</f>
        <v>-12.275180999999996</v>
      </c>
      <c r="K74" s="793"/>
      <c r="L74" s="793"/>
      <c r="M74" s="794"/>
      <c r="W74" s="667"/>
      <c r="X74" s="667"/>
      <c r="Y74" s="667"/>
      <c r="Z74" s="667"/>
      <c r="AA74" s="667"/>
      <c r="AB74" s="667"/>
      <c r="AC74" s="667"/>
      <c r="AD74" s="667"/>
      <c r="AE74" s="652"/>
      <c r="AF74" s="652"/>
      <c r="AG74" s="683"/>
      <c r="AH74" s="682"/>
      <c r="AI74" s="680"/>
      <c r="AK74" s="584"/>
      <c r="AL74" s="584"/>
      <c r="AM74" s="584"/>
      <c r="AN74" s="584"/>
      <c r="AO74" s="584"/>
      <c r="AP74" s="584"/>
      <c r="AQ74" s="584"/>
    </row>
    <row r="75" spans="1:43" ht="4.5" customHeight="1" x14ac:dyDescent="0.25">
      <c r="A75" s="584"/>
      <c r="B75" s="584"/>
      <c r="C75" s="584"/>
      <c r="D75" s="584"/>
      <c r="E75" s="584"/>
      <c r="F75" s="584"/>
      <c r="G75" s="636"/>
      <c r="H75" s="636"/>
      <c r="I75" s="636"/>
      <c r="J75" s="641"/>
      <c r="K75" s="641"/>
      <c r="L75" s="641"/>
      <c r="M75" s="642"/>
      <c r="N75" s="545"/>
      <c r="O75" s="545"/>
      <c r="P75" s="545"/>
      <c r="Q75" s="545"/>
      <c r="R75" s="545"/>
      <c r="S75" s="545"/>
      <c r="T75" s="545"/>
      <c r="U75" s="545"/>
      <c r="V75" s="545"/>
      <c r="W75" s="667"/>
      <c r="X75" s="667"/>
      <c r="Y75" s="667"/>
      <c r="Z75" s="667"/>
      <c r="AA75" s="667"/>
      <c r="AB75" s="667"/>
      <c r="AC75" s="667"/>
      <c r="AD75" s="667"/>
      <c r="AE75" s="652"/>
      <c r="AF75" s="652"/>
      <c r="AG75" s="683"/>
      <c r="AH75" s="682"/>
      <c r="AI75" s="679"/>
    </row>
    <row r="76" spans="1:43" ht="15" customHeight="1" x14ac:dyDescent="0.25">
      <c r="A76" s="841" t="s">
        <v>463</v>
      </c>
      <c r="B76" s="841"/>
      <c r="C76" s="841"/>
      <c r="D76" s="841"/>
      <c r="E76" s="633" t="s">
        <v>539</v>
      </c>
      <c r="F76" s="545"/>
      <c r="G76" s="545"/>
      <c r="H76" s="633" t="s">
        <v>499</v>
      </c>
      <c r="I76" s="545"/>
      <c r="J76" s="545"/>
      <c r="K76" s="661" t="s">
        <v>545</v>
      </c>
      <c r="L76" s="545"/>
      <c r="M76" s="634"/>
      <c r="N76" s="545"/>
      <c r="O76" s="545"/>
      <c r="P76" s="545"/>
      <c r="Q76" s="545"/>
      <c r="R76" s="545"/>
      <c r="S76" s="545"/>
      <c r="T76" s="545"/>
      <c r="U76" s="545"/>
      <c r="V76" s="545"/>
      <c r="W76" s="674"/>
      <c r="X76" s="4"/>
      <c r="Y76" s="644"/>
      <c r="Z76" s="644"/>
      <c r="AA76" s="674"/>
      <c r="AB76" s="4"/>
      <c r="AC76" s="37"/>
      <c r="AD76" s="678"/>
      <c r="AE76" s="652"/>
      <c r="AF76" s="652"/>
      <c r="AG76" s="678"/>
      <c r="AH76" s="678"/>
      <c r="AI76" s="37"/>
    </row>
    <row r="77" spans="1:43" ht="15.75" customHeight="1" x14ac:dyDescent="0.25">
      <c r="A77" s="841"/>
      <c r="B77" s="841"/>
      <c r="C77" s="841"/>
      <c r="D77" s="841"/>
      <c r="E77" s="633" t="s">
        <v>441</v>
      </c>
      <c r="F77" s="545"/>
      <c r="G77" s="545"/>
      <c r="H77" s="633" t="s">
        <v>497</v>
      </c>
      <c r="I77" s="545"/>
      <c r="J77" s="545"/>
      <c r="K77" s="637" t="s">
        <v>511</v>
      </c>
      <c r="L77" s="545"/>
      <c r="M77" s="634"/>
      <c r="N77" s="545"/>
      <c r="O77" s="545"/>
      <c r="P77" s="545"/>
      <c r="Q77" s="545"/>
      <c r="R77" s="545"/>
      <c r="S77" s="545"/>
      <c r="T77" s="545"/>
      <c r="U77" s="545"/>
      <c r="V77" s="545"/>
      <c r="W77" s="37"/>
      <c r="X77" s="37"/>
      <c r="Y77" s="37"/>
      <c r="Z77" s="37"/>
      <c r="AA77" s="37"/>
      <c r="AB77" s="37"/>
      <c r="AC77" s="37"/>
      <c r="AD77" s="37"/>
      <c r="AE77" s="37"/>
      <c r="AF77" s="37"/>
      <c r="AG77" s="678"/>
      <c r="AH77" s="678"/>
      <c r="AI77" s="37"/>
    </row>
    <row r="78" spans="1:43" s="647" customFormat="1" ht="15.75" customHeight="1" x14ac:dyDescent="0.25">
      <c r="A78" s="666"/>
      <c r="B78" s="666"/>
      <c r="C78" s="666"/>
      <c r="E78" s="633" t="s">
        <v>498</v>
      </c>
      <c r="H78" s="637" t="s">
        <v>507</v>
      </c>
      <c r="J78" s="545"/>
      <c r="K78" s="633" t="s">
        <v>447</v>
      </c>
      <c r="L78" s="545"/>
      <c r="M78" s="634"/>
      <c r="N78" s="545"/>
      <c r="W78" s="668"/>
      <c r="X78" s="4"/>
      <c r="Y78" s="644"/>
      <c r="Z78" s="644"/>
      <c r="AA78" s="668"/>
      <c r="AB78" s="4"/>
      <c r="AD78" s="545"/>
      <c r="AE78" s="655"/>
      <c r="AF78" s="652"/>
      <c r="AG78" s="545"/>
      <c r="AH78" s="545"/>
      <c r="AK78" s="22"/>
      <c r="AL78" s="22"/>
      <c r="AM78" s="22"/>
      <c r="AN78" s="22"/>
      <c r="AO78" s="22"/>
      <c r="AP78" s="22"/>
      <c r="AQ78" s="22"/>
    </row>
    <row r="79" spans="1:43" s="647" customFormat="1" ht="15.75" customHeight="1" x14ac:dyDescent="0.25">
      <c r="B79" s="666"/>
      <c r="C79" s="666"/>
      <c r="H79" s="633"/>
      <c r="J79" s="545"/>
      <c r="K79" s="545"/>
      <c r="L79" s="545"/>
      <c r="M79" s="634"/>
      <c r="N79" s="545"/>
      <c r="AG79" s="545"/>
      <c r="AH79" s="545"/>
      <c r="AK79" s="22"/>
      <c r="AL79" s="22"/>
      <c r="AM79" s="22"/>
      <c r="AN79" s="22"/>
      <c r="AO79" s="22"/>
      <c r="AP79" s="22"/>
      <c r="AQ79" s="22"/>
    </row>
    <row r="80" spans="1:43" s="647" customFormat="1" ht="15.75" customHeight="1" x14ac:dyDescent="0.25">
      <c r="A80" s="607"/>
      <c r="B80" s="801"/>
      <c r="C80" s="801"/>
      <c r="H80" s="633"/>
      <c r="J80" s="545"/>
      <c r="K80" s="545"/>
      <c r="L80" s="545"/>
      <c r="M80" s="634"/>
      <c r="N80" s="545"/>
      <c r="AG80" s="545"/>
      <c r="AH80" s="545"/>
      <c r="AK80" s="22"/>
      <c r="AL80" s="22"/>
      <c r="AM80" s="22"/>
      <c r="AN80" s="22"/>
      <c r="AO80" s="22"/>
      <c r="AP80" s="22"/>
      <c r="AQ80" s="22"/>
    </row>
    <row r="81" spans="1:43" s="647" customFormat="1" ht="15.75" customHeight="1" x14ac:dyDescent="0.25">
      <c r="A81" s="607" t="s">
        <v>566</v>
      </c>
      <c r="B81" s="801"/>
      <c r="C81" s="801"/>
      <c r="H81" s="633"/>
      <c r="J81" s="545"/>
      <c r="K81" s="545"/>
      <c r="L81" s="545"/>
      <c r="M81" s="634"/>
      <c r="N81" s="545"/>
      <c r="AG81" s="545"/>
      <c r="AH81" s="545"/>
      <c r="AK81" s="22"/>
      <c r="AL81" s="22"/>
      <c r="AM81" s="22"/>
      <c r="AN81" s="22"/>
      <c r="AO81" s="22"/>
      <c r="AP81" s="22"/>
      <c r="AQ81" s="22"/>
    </row>
    <row r="82" spans="1:43" s="647" customFormat="1" ht="15.75" customHeight="1" x14ac:dyDescent="0.25">
      <c r="B82" s="801"/>
      <c r="C82" s="801"/>
      <c r="H82" s="633"/>
      <c r="J82" s="545"/>
      <c r="K82" s="545"/>
      <c r="L82" s="545"/>
      <c r="M82" s="634"/>
      <c r="N82" s="545"/>
      <c r="AG82" s="545"/>
      <c r="AH82" s="545"/>
      <c r="AK82" s="22"/>
      <c r="AL82" s="22"/>
      <c r="AM82" s="22"/>
      <c r="AN82" s="22"/>
      <c r="AO82" s="22"/>
      <c r="AP82" s="22"/>
      <c r="AQ82" s="22"/>
    </row>
    <row r="83" spans="1:43" s="647" customFormat="1" ht="33.75" customHeight="1" x14ac:dyDescent="0.25">
      <c r="A83" s="841" t="s">
        <v>614</v>
      </c>
      <c r="B83" s="841"/>
      <c r="C83" s="841"/>
      <c r="D83" s="841"/>
      <c r="E83" s="841"/>
      <c r="F83" s="841"/>
      <c r="G83" s="841"/>
      <c r="H83" s="841"/>
      <c r="I83" s="841"/>
      <c r="J83" s="841"/>
      <c r="K83" s="841"/>
      <c r="L83" s="841"/>
      <c r="M83" s="841"/>
      <c r="N83" s="545"/>
      <c r="AG83" s="545"/>
      <c r="AH83" s="545"/>
      <c r="AK83" s="22"/>
      <c r="AL83" s="22"/>
      <c r="AM83" s="22"/>
      <c r="AN83" s="22"/>
      <c r="AO83" s="22"/>
      <c r="AP83" s="22"/>
      <c r="AQ83" s="22"/>
    </row>
    <row r="84" spans="1:43" s="647" customFormat="1" ht="10.050000000000001" customHeight="1" x14ac:dyDescent="0.25">
      <c r="A84" s="772"/>
      <c r="B84" s="772"/>
      <c r="C84" s="772"/>
      <c r="D84" s="772"/>
      <c r="E84" s="772"/>
      <c r="F84" s="772"/>
      <c r="G84" s="772"/>
      <c r="H84" s="772"/>
      <c r="I84" s="772"/>
      <c r="J84" s="772"/>
      <c r="K84" s="772"/>
      <c r="L84" s="772"/>
      <c r="M84" s="772"/>
      <c r="N84" s="545"/>
      <c r="AG84" s="545"/>
      <c r="AH84" s="545"/>
      <c r="AK84" s="22"/>
      <c r="AL84" s="22"/>
      <c r="AM84" s="22"/>
      <c r="AN84" s="22"/>
      <c r="AO84" s="22"/>
      <c r="AP84" s="22"/>
      <c r="AQ84" s="22"/>
    </row>
    <row r="85" spans="1:43" s="647" customFormat="1" ht="34.5" customHeight="1" x14ac:dyDescent="0.25">
      <c r="A85" s="841" t="s">
        <v>548</v>
      </c>
      <c r="B85" s="841"/>
      <c r="C85" s="841"/>
      <c r="D85" s="841"/>
      <c r="E85" s="841"/>
      <c r="F85" s="841"/>
      <c r="G85" s="841"/>
      <c r="H85" s="841"/>
      <c r="I85" s="841"/>
      <c r="J85" s="841"/>
      <c r="K85" s="841"/>
      <c r="L85" s="841"/>
      <c r="M85" s="841"/>
      <c r="N85" s="545"/>
      <c r="AG85" s="545"/>
      <c r="AH85" s="545"/>
      <c r="AK85" s="22"/>
      <c r="AL85" s="22"/>
      <c r="AM85" s="22"/>
      <c r="AN85" s="22"/>
      <c r="AO85" s="22"/>
      <c r="AP85" s="22"/>
      <c r="AQ85" s="22"/>
    </row>
    <row r="86" spans="1:43" s="647" customFormat="1" ht="10.050000000000001" customHeight="1" x14ac:dyDescent="0.25">
      <c r="A86" s="772"/>
      <c r="B86" s="772"/>
      <c r="C86" s="772"/>
      <c r="D86" s="772"/>
      <c r="E86" s="772"/>
      <c r="F86" s="772"/>
      <c r="G86" s="772"/>
      <c r="H86" s="772"/>
      <c r="I86" s="772"/>
      <c r="J86" s="772"/>
      <c r="K86" s="772"/>
      <c r="L86" s="772"/>
      <c r="M86" s="772"/>
      <c r="N86" s="545"/>
      <c r="AG86" s="545"/>
      <c r="AH86" s="545"/>
      <c r="AK86" s="22"/>
      <c r="AL86" s="22"/>
      <c r="AM86" s="22"/>
      <c r="AN86" s="22"/>
      <c r="AO86" s="22"/>
      <c r="AP86" s="22"/>
      <c r="AQ86" s="22"/>
    </row>
    <row r="87" spans="1:43" s="647" customFormat="1" ht="32.25" customHeight="1" x14ac:dyDescent="0.25">
      <c r="A87" s="841" t="s">
        <v>582</v>
      </c>
      <c r="B87" s="841"/>
      <c r="C87" s="841"/>
      <c r="D87" s="841"/>
      <c r="E87" s="841"/>
      <c r="F87" s="841"/>
      <c r="G87" s="841"/>
      <c r="H87" s="841"/>
      <c r="I87" s="841"/>
      <c r="J87" s="841"/>
      <c r="K87" s="841"/>
      <c r="L87" s="841"/>
      <c r="M87" s="841"/>
      <c r="N87" s="545"/>
      <c r="AG87" s="545"/>
      <c r="AH87" s="545"/>
      <c r="AK87" s="22"/>
      <c r="AL87" s="22"/>
      <c r="AM87" s="22"/>
      <c r="AN87" s="22"/>
      <c r="AO87" s="22"/>
      <c r="AP87" s="22"/>
      <c r="AQ87" s="22"/>
    </row>
    <row r="88" spans="1:43" s="647" customFormat="1" ht="10.050000000000001" customHeight="1" x14ac:dyDescent="0.25">
      <c r="A88" s="772"/>
      <c r="B88" s="772"/>
      <c r="C88" s="772"/>
      <c r="D88" s="772"/>
      <c r="E88" s="772"/>
      <c r="F88" s="772"/>
      <c r="G88" s="772"/>
      <c r="H88" s="772"/>
      <c r="I88" s="772"/>
      <c r="J88" s="772"/>
      <c r="K88" s="772"/>
      <c r="L88" s="772"/>
      <c r="M88" s="772"/>
      <c r="N88" s="545"/>
      <c r="AG88" s="545"/>
      <c r="AH88" s="545"/>
      <c r="AK88" s="22"/>
      <c r="AL88" s="22"/>
      <c r="AM88" s="22"/>
      <c r="AN88" s="22"/>
      <c r="AO88" s="22"/>
      <c r="AP88" s="22"/>
      <c r="AQ88" s="22"/>
    </row>
    <row r="89" spans="1:43" s="647" customFormat="1" ht="15.75" customHeight="1" x14ac:dyDescent="0.25">
      <c r="A89" s="841" t="s">
        <v>583</v>
      </c>
      <c r="B89" s="841"/>
      <c r="C89" s="841"/>
      <c r="D89" s="841"/>
      <c r="E89" s="841"/>
      <c r="F89" s="841"/>
      <c r="G89" s="841"/>
      <c r="H89" s="841"/>
      <c r="I89" s="841"/>
      <c r="J89" s="841"/>
      <c r="K89" s="841"/>
      <c r="L89" s="841"/>
      <c r="M89" s="841"/>
      <c r="N89" s="545"/>
      <c r="W89" s="644"/>
      <c r="X89" s="644"/>
      <c r="Y89" s="644"/>
      <c r="Z89" s="644"/>
      <c r="AA89" s="4"/>
      <c r="AB89" s="4"/>
      <c r="AK89" s="22"/>
      <c r="AL89" s="22"/>
      <c r="AM89" s="22"/>
      <c r="AN89" s="22"/>
      <c r="AO89" s="22"/>
      <c r="AP89" s="22"/>
      <c r="AQ89" s="22"/>
    </row>
    <row r="90" spans="1:43" s="647" customFormat="1" ht="23.55" customHeight="1" x14ac:dyDescent="0.25">
      <c r="A90" s="841"/>
      <c r="B90" s="841"/>
      <c r="C90" s="841"/>
      <c r="D90" s="841"/>
      <c r="E90" s="841"/>
      <c r="F90" s="841"/>
      <c r="G90" s="841"/>
      <c r="H90" s="841"/>
      <c r="I90" s="841"/>
      <c r="J90" s="841"/>
      <c r="K90" s="841"/>
      <c r="L90" s="841"/>
      <c r="M90" s="841"/>
      <c r="N90" s="545"/>
      <c r="W90" s="545"/>
      <c r="X90" s="545"/>
      <c r="Y90" s="545"/>
      <c r="Z90" s="545"/>
      <c r="AK90" s="22"/>
      <c r="AL90" s="22"/>
      <c r="AM90" s="22"/>
      <c r="AN90" s="22"/>
      <c r="AO90" s="22"/>
      <c r="AP90" s="22"/>
      <c r="AQ90" s="22"/>
    </row>
    <row r="91" spans="1:43" s="647" customFormat="1" ht="11.25" customHeight="1" x14ac:dyDescent="0.25">
      <c r="A91" s="772"/>
      <c r="B91" s="772"/>
      <c r="C91" s="772"/>
      <c r="D91" s="772"/>
      <c r="E91" s="772"/>
      <c r="F91" s="772"/>
      <c r="G91" s="772"/>
      <c r="H91" s="772"/>
      <c r="I91" s="772"/>
      <c r="J91" s="772"/>
      <c r="K91" s="772"/>
      <c r="L91" s="772"/>
      <c r="M91" s="772"/>
      <c r="N91" s="545"/>
      <c r="W91" s="545"/>
      <c r="X91" s="545"/>
      <c r="Y91" s="545"/>
      <c r="Z91" s="545"/>
      <c r="AK91" s="22"/>
      <c r="AL91" s="22"/>
      <c r="AM91" s="22"/>
      <c r="AN91" s="22"/>
      <c r="AO91" s="22"/>
      <c r="AP91" s="22"/>
      <c r="AQ91" s="22"/>
    </row>
    <row r="92" spans="1:43" s="647" customFormat="1" ht="15.75" customHeight="1" x14ac:dyDescent="0.25">
      <c r="A92" s="841" t="s">
        <v>601</v>
      </c>
      <c r="B92" s="841"/>
      <c r="C92" s="841"/>
      <c r="D92" s="841"/>
      <c r="E92" s="841"/>
      <c r="F92" s="841"/>
      <c r="G92" s="841"/>
      <c r="H92" s="841"/>
      <c r="I92" s="841"/>
      <c r="J92" s="841"/>
      <c r="K92" s="841"/>
      <c r="L92" s="841"/>
      <c r="M92" s="841"/>
      <c r="N92" s="545"/>
      <c r="W92" s="545"/>
      <c r="X92" s="545"/>
      <c r="Y92" s="545"/>
      <c r="Z92" s="545"/>
      <c r="AK92" s="22"/>
      <c r="AL92" s="22"/>
      <c r="AM92" s="22"/>
      <c r="AN92" s="22"/>
      <c r="AO92" s="22"/>
      <c r="AP92" s="22"/>
      <c r="AQ92" s="22"/>
    </row>
    <row r="93" spans="1:43" s="647" customFormat="1" ht="15.75" customHeight="1" x14ac:dyDescent="0.25">
      <c r="A93" s="841"/>
      <c r="B93" s="841"/>
      <c r="C93" s="841"/>
      <c r="D93" s="841"/>
      <c r="E93" s="841"/>
      <c r="F93" s="841"/>
      <c r="G93" s="841"/>
      <c r="H93" s="841"/>
      <c r="I93" s="841"/>
      <c r="J93" s="841"/>
      <c r="K93" s="841"/>
      <c r="L93" s="841"/>
      <c r="M93" s="841"/>
      <c r="N93" s="545"/>
      <c r="W93" s="545"/>
      <c r="X93" s="545"/>
      <c r="Y93" s="545"/>
      <c r="Z93" s="545"/>
      <c r="AK93" s="22"/>
      <c r="AL93" s="22"/>
      <c r="AM93" s="22"/>
      <c r="AN93" s="22"/>
      <c r="AO93" s="22"/>
      <c r="AP93" s="22"/>
      <c r="AQ93" s="22"/>
    </row>
    <row r="94" spans="1:43" s="647" customFormat="1" ht="12.75" customHeight="1" x14ac:dyDescent="0.25">
      <c r="A94" s="774"/>
      <c r="B94" s="776"/>
      <c r="C94" s="776"/>
      <c r="D94" s="776"/>
      <c r="E94" s="776"/>
      <c r="F94" s="776"/>
      <c r="G94" s="776"/>
      <c r="H94" s="633"/>
      <c r="J94" s="545"/>
      <c r="K94" s="545"/>
      <c r="L94" s="545"/>
      <c r="M94" s="634"/>
      <c r="N94" s="545"/>
      <c r="W94" s="545"/>
      <c r="X94" s="545"/>
      <c r="Y94" s="545"/>
      <c r="Z94" s="545"/>
      <c r="AK94" s="22"/>
      <c r="AL94" s="22"/>
      <c r="AM94" s="22"/>
      <c r="AN94" s="22"/>
      <c r="AO94" s="22"/>
      <c r="AP94" s="22"/>
      <c r="AQ94" s="22"/>
    </row>
    <row r="95" spans="1:43" s="647" customFormat="1" ht="15.75" customHeight="1" x14ac:dyDescent="0.25">
      <c r="A95" s="842" t="s">
        <v>617</v>
      </c>
      <c r="B95" s="842"/>
      <c r="C95" s="842"/>
      <c r="D95" s="842"/>
      <c r="E95" s="842"/>
      <c r="F95" s="842"/>
      <c r="G95" s="842"/>
      <c r="H95" s="842"/>
      <c r="I95" s="842"/>
      <c r="J95" s="842"/>
      <c r="K95" s="842"/>
      <c r="L95" s="842"/>
      <c r="M95" s="842"/>
      <c r="N95" s="545"/>
      <c r="W95" s="545"/>
      <c r="X95" s="545"/>
      <c r="Y95" s="545"/>
      <c r="Z95" s="545"/>
      <c r="AK95" s="22"/>
      <c r="AL95" s="22"/>
      <c r="AM95" s="22"/>
      <c r="AN95" s="22"/>
      <c r="AO95" s="22"/>
      <c r="AP95" s="22"/>
      <c r="AQ95" s="22"/>
    </row>
    <row r="96" spans="1:43" s="647" customFormat="1" ht="39" customHeight="1" x14ac:dyDescent="0.25">
      <c r="A96" s="842"/>
      <c r="B96" s="842"/>
      <c r="C96" s="842"/>
      <c r="D96" s="842"/>
      <c r="E96" s="842"/>
      <c r="F96" s="842"/>
      <c r="G96" s="842"/>
      <c r="H96" s="842"/>
      <c r="I96" s="842"/>
      <c r="J96" s="842"/>
      <c r="K96" s="842"/>
      <c r="L96" s="842"/>
      <c r="M96" s="842"/>
      <c r="N96" s="545"/>
      <c r="W96" s="545"/>
      <c r="X96" s="545"/>
      <c r="Y96" s="545"/>
      <c r="Z96" s="545"/>
      <c r="AK96" s="22"/>
      <c r="AL96" s="22"/>
      <c r="AM96" s="22"/>
      <c r="AN96" s="22"/>
      <c r="AO96" s="22"/>
      <c r="AP96" s="22"/>
      <c r="AQ96" s="22"/>
    </row>
    <row r="97" spans="1:43" s="647" customFormat="1" ht="15.75" customHeight="1" x14ac:dyDescent="0.25">
      <c r="A97" s="774"/>
      <c r="B97" s="776"/>
      <c r="C97" s="776"/>
      <c r="D97" s="776"/>
      <c r="E97" s="776"/>
      <c r="F97" s="776"/>
      <c r="G97" s="776"/>
      <c r="H97" s="634"/>
      <c r="I97" s="545"/>
      <c r="J97" s="545"/>
      <c r="K97" s="545"/>
      <c r="L97" s="545"/>
      <c r="M97" s="634"/>
      <c r="N97" s="545"/>
      <c r="W97" s="545"/>
      <c r="X97" s="545"/>
      <c r="Y97" s="545"/>
      <c r="Z97" s="545"/>
      <c r="AK97" s="22"/>
      <c r="AL97" s="22"/>
      <c r="AM97" s="22"/>
      <c r="AN97" s="22"/>
      <c r="AO97" s="22"/>
      <c r="AP97" s="22"/>
      <c r="AQ97" s="22"/>
    </row>
    <row r="98" spans="1:43" s="647" customFormat="1" ht="15.75" customHeight="1" x14ac:dyDescent="0.25">
      <c r="A98" s="651"/>
      <c r="B98" s="775"/>
      <c r="C98" s="775"/>
      <c r="D98" s="775"/>
      <c r="E98" s="775"/>
      <c r="F98" s="775"/>
      <c r="G98" s="775"/>
      <c r="H98" s="634"/>
      <c r="I98" s="545"/>
      <c r="J98" s="545"/>
      <c r="K98" s="545"/>
      <c r="L98" s="545"/>
      <c r="M98" s="634"/>
      <c r="N98" s="545"/>
      <c r="W98" s="545"/>
      <c r="X98" s="545"/>
      <c r="Y98" s="545"/>
      <c r="Z98" s="545"/>
      <c r="AK98" s="22"/>
      <c r="AL98" s="22"/>
      <c r="AM98" s="22"/>
      <c r="AN98" s="22"/>
      <c r="AO98" s="22"/>
      <c r="AP98" s="22"/>
      <c r="AQ98" s="22"/>
    </row>
    <row r="99" spans="1:43" s="647" customFormat="1" ht="15.75" customHeight="1" x14ac:dyDescent="0.25">
      <c r="A99" s="651"/>
      <c r="B99" s="776"/>
      <c r="C99" s="776"/>
      <c r="D99" s="776"/>
      <c r="E99" s="776"/>
      <c r="F99" s="776"/>
      <c r="G99" s="776"/>
      <c r="H99" s="634"/>
      <c r="I99" s="545"/>
      <c r="J99" s="545"/>
      <c r="K99" s="545"/>
      <c r="L99" s="545"/>
      <c r="M99" s="634"/>
      <c r="N99" s="545"/>
      <c r="W99" s="545"/>
      <c r="X99" s="545"/>
      <c r="Y99" s="545"/>
      <c r="Z99" s="545"/>
      <c r="AK99" s="22"/>
      <c r="AL99" s="22"/>
      <c r="AM99" s="22"/>
      <c r="AN99" s="22"/>
      <c r="AO99" s="22"/>
      <c r="AP99" s="22"/>
      <c r="AQ99" s="22"/>
    </row>
    <row r="100" spans="1:43" s="647" customFormat="1" ht="15.75" customHeight="1" x14ac:dyDescent="0.25">
      <c r="A100" s="651"/>
      <c r="B100" s="776"/>
      <c r="C100" s="776"/>
      <c r="D100" s="776"/>
      <c r="E100" s="776"/>
      <c r="F100" s="776"/>
      <c r="G100" s="776"/>
      <c r="H100" s="634"/>
      <c r="I100" s="545"/>
      <c r="J100" s="545"/>
      <c r="K100" s="545"/>
      <c r="L100" s="545"/>
      <c r="M100" s="634"/>
      <c r="N100" s="545"/>
      <c r="W100" s="545"/>
      <c r="X100" s="545"/>
      <c r="Y100" s="545"/>
      <c r="Z100" s="545"/>
      <c r="AK100" s="22"/>
      <c r="AL100" s="22"/>
      <c r="AM100" s="22"/>
      <c r="AN100" s="22"/>
      <c r="AO100" s="22"/>
      <c r="AP100" s="22"/>
      <c r="AQ100" s="22"/>
    </row>
    <row r="101" spans="1:43" s="647" customFormat="1" ht="15.75" customHeight="1" x14ac:dyDescent="0.25">
      <c r="A101" s="773"/>
      <c r="B101" s="651"/>
      <c r="C101" s="651"/>
      <c r="D101" s="777"/>
      <c r="E101" s="777"/>
      <c r="F101" s="777"/>
      <c r="G101" s="777"/>
      <c r="H101" s="634"/>
      <c r="I101" s="545"/>
      <c r="J101" s="545"/>
      <c r="K101" s="545"/>
      <c r="L101" s="545"/>
      <c r="M101" s="634"/>
      <c r="N101" s="545"/>
      <c r="W101" s="545"/>
      <c r="X101" s="545"/>
      <c r="Y101" s="545"/>
      <c r="Z101" s="545"/>
      <c r="AK101" s="22"/>
      <c r="AL101" s="22"/>
      <c r="AM101" s="22"/>
      <c r="AN101" s="22"/>
      <c r="AO101" s="22"/>
      <c r="AP101" s="22"/>
      <c r="AQ101" s="22"/>
    </row>
    <row r="102" spans="1:43" s="647" customFormat="1" ht="15.75" customHeight="1" x14ac:dyDescent="0.25">
      <c r="A102" s="773"/>
      <c r="B102" s="651"/>
      <c r="C102" s="651"/>
      <c r="D102" s="774"/>
      <c r="E102" s="774"/>
      <c r="F102" s="774"/>
      <c r="G102" s="774"/>
      <c r="H102" s="634"/>
      <c r="I102" s="545"/>
      <c r="J102" s="545"/>
      <c r="K102" s="545"/>
      <c r="L102" s="545"/>
      <c r="M102" s="634"/>
      <c r="N102" s="545"/>
      <c r="W102" s="545"/>
      <c r="X102" s="545"/>
      <c r="Y102" s="545"/>
      <c r="Z102" s="545"/>
      <c r="AK102" s="22"/>
      <c r="AL102" s="22"/>
      <c r="AM102" s="22"/>
      <c r="AN102" s="22"/>
      <c r="AO102" s="22"/>
      <c r="AP102" s="22"/>
      <c r="AQ102" s="22"/>
    </row>
    <row r="103" spans="1:43" s="647" customFormat="1" x14ac:dyDescent="0.25">
      <c r="A103" s="651"/>
      <c r="B103" s="651"/>
      <c r="C103" s="651"/>
      <c r="D103" s="651"/>
      <c r="E103" s="651"/>
      <c r="F103" s="651"/>
      <c r="H103" s="634"/>
      <c r="I103" s="545"/>
      <c r="J103" s="545"/>
      <c r="K103" s="545"/>
      <c r="L103" s="545"/>
      <c r="M103" s="634"/>
      <c r="N103" s="545"/>
      <c r="W103" s="545"/>
      <c r="X103" s="545"/>
      <c r="Y103" s="545"/>
      <c r="Z103" s="545"/>
      <c r="AK103" s="22"/>
      <c r="AL103" s="22"/>
      <c r="AM103" s="22"/>
      <c r="AN103" s="22"/>
      <c r="AO103" s="22"/>
      <c r="AP103" s="22"/>
      <c r="AQ103" s="22"/>
    </row>
    <row r="104" spans="1:43" s="647" customFormat="1" x14ac:dyDescent="0.25">
      <c r="A104" s="801"/>
      <c r="B104" s="801"/>
      <c r="C104" s="801"/>
      <c r="D104" s="801"/>
      <c r="E104" s="801"/>
      <c r="F104" s="801"/>
      <c r="H104" s="634"/>
      <c r="I104" s="545"/>
      <c r="J104" s="545"/>
      <c r="K104" s="545"/>
      <c r="L104" s="545"/>
      <c r="M104" s="634"/>
      <c r="N104" s="545"/>
      <c r="W104" s="545"/>
      <c r="X104" s="545"/>
      <c r="Y104" s="545"/>
      <c r="Z104" s="545"/>
      <c r="AK104" s="22"/>
      <c r="AL104" s="22"/>
      <c r="AM104" s="22"/>
      <c r="AN104" s="22"/>
      <c r="AO104" s="22"/>
      <c r="AP104" s="22"/>
      <c r="AQ104" s="22"/>
    </row>
    <row r="105" spans="1:43" s="647" customFormat="1" x14ac:dyDescent="0.25">
      <c r="A105" s="801"/>
      <c r="B105" s="801"/>
      <c r="C105" s="801"/>
      <c r="D105" s="801"/>
      <c r="E105" s="801"/>
      <c r="F105" s="801"/>
      <c r="H105" s="634"/>
      <c r="I105" s="545"/>
      <c r="J105" s="545"/>
      <c r="K105" s="545"/>
      <c r="L105" s="545"/>
      <c r="M105" s="634"/>
      <c r="N105" s="545"/>
      <c r="W105" s="545"/>
      <c r="X105" s="545"/>
      <c r="Y105" s="545"/>
      <c r="Z105" s="545"/>
      <c r="AK105" s="22"/>
      <c r="AL105" s="22"/>
      <c r="AM105" s="22"/>
      <c r="AN105" s="22"/>
      <c r="AO105" s="22"/>
      <c r="AP105" s="22"/>
      <c r="AQ105" s="22"/>
    </row>
    <row r="106" spans="1:43" s="647" customFormat="1" x14ac:dyDescent="0.25">
      <c r="A106" s="821"/>
      <c r="B106" s="821"/>
      <c r="C106" s="821"/>
      <c r="D106" s="821"/>
      <c r="E106" s="821"/>
      <c r="F106" s="821"/>
      <c r="H106" s="634"/>
      <c r="I106" s="545"/>
      <c r="J106" s="545"/>
      <c r="K106" s="545"/>
      <c r="L106" s="545"/>
      <c r="M106" s="634"/>
      <c r="N106" s="545"/>
      <c r="W106" s="545"/>
      <c r="X106" s="545"/>
      <c r="Y106" s="545"/>
      <c r="Z106" s="545"/>
      <c r="AK106" s="22"/>
      <c r="AL106" s="22"/>
      <c r="AM106" s="22"/>
      <c r="AN106" s="22"/>
      <c r="AO106" s="22"/>
      <c r="AP106" s="22"/>
      <c r="AQ106" s="22"/>
    </row>
    <row r="107" spans="1:43" s="647" customFormat="1" x14ac:dyDescent="0.25">
      <c r="A107" s="823"/>
      <c r="B107" s="823"/>
      <c r="C107" s="823"/>
      <c r="D107" s="823"/>
      <c r="E107" s="823"/>
      <c r="F107" s="823"/>
      <c r="G107" s="824"/>
      <c r="H107" s="825"/>
      <c r="I107" s="824"/>
      <c r="J107" s="824"/>
      <c r="K107" s="824"/>
      <c r="L107" s="824"/>
      <c r="M107" s="825"/>
      <c r="N107" s="545"/>
      <c r="W107" s="545"/>
      <c r="X107" s="545"/>
      <c r="Y107" s="545"/>
      <c r="Z107" s="545"/>
      <c r="AK107" s="22"/>
      <c r="AL107" s="22"/>
      <c r="AM107" s="22"/>
      <c r="AN107" s="22"/>
      <c r="AO107" s="22"/>
      <c r="AP107" s="22"/>
      <c r="AQ107" s="22"/>
    </row>
    <row r="108" spans="1:43" s="647" customFormat="1" x14ac:dyDescent="0.25">
      <c r="A108" s="821"/>
      <c r="B108" s="821"/>
      <c r="C108" s="821"/>
      <c r="D108" s="821"/>
      <c r="E108" s="821"/>
      <c r="F108" s="821"/>
      <c r="H108" s="634"/>
      <c r="I108" s="545"/>
      <c r="J108" s="545"/>
      <c r="K108" s="545"/>
      <c r="L108" s="545"/>
      <c r="M108" s="634"/>
      <c r="N108" s="545"/>
      <c r="W108" s="545"/>
      <c r="X108" s="545"/>
      <c r="Y108" s="545"/>
      <c r="Z108" s="545"/>
      <c r="AK108" s="22"/>
      <c r="AL108" s="22"/>
      <c r="AM108" s="22"/>
      <c r="AN108" s="22"/>
      <c r="AO108" s="22"/>
      <c r="AP108" s="22"/>
      <c r="AQ108" s="22"/>
    </row>
    <row r="109" spans="1:43" s="647" customFormat="1" x14ac:dyDescent="0.25">
      <c r="A109" s="821"/>
      <c r="B109" s="821"/>
      <c r="C109" s="821"/>
      <c r="D109" s="821"/>
      <c r="E109" s="821"/>
      <c r="F109" s="821"/>
      <c r="H109" s="634"/>
      <c r="I109" s="545"/>
      <c r="J109" s="545"/>
      <c r="K109" s="545"/>
      <c r="L109" s="545"/>
      <c r="M109" s="634"/>
      <c r="N109" s="545"/>
      <c r="W109" s="545"/>
      <c r="X109" s="545"/>
      <c r="Y109" s="545"/>
      <c r="Z109" s="545"/>
      <c r="AK109" s="22"/>
      <c r="AL109" s="22"/>
      <c r="AM109" s="22"/>
      <c r="AN109" s="22"/>
      <c r="AO109" s="22"/>
      <c r="AP109" s="22"/>
      <c r="AQ109" s="22"/>
    </row>
    <row r="110" spans="1:43" s="647" customFormat="1" x14ac:dyDescent="0.25">
      <c r="A110" s="801"/>
      <c r="B110" s="801"/>
      <c r="C110" s="801"/>
      <c r="D110" s="801"/>
      <c r="E110" s="801"/>
      <c r="F110" s="801"/>
      <c r="H110" s="634"/>
      <c r="I110" s="545"/>
      <c r="J110" s="545"/>
      <c r="K110" s="545"/>
      <c r="L110" s="545"/>
      <c r="M110" s="634"/>
      <c r="N110" s="545"/>
      <c r="W110" s="545"/>
      <c r="X110" s="545"/>
      <c r="Y110" s="545"/>
      <c r="Z110" s="545"/>
      <c r="AK110" s="22"/>
      <c r="AL110" s="22"/>
      <c r="AM110" s="22"/>
      <c r="AN110" s="22"/>
      <c r="AO110" s="22"/>
      <c r="AP110" s="22"/>
      <c r="AQ110" s="22"/>
    </row>
    <row r="111" spans="1:43" s="647" customFormat="1" x14ac:dyDescent="0.25">
      <c r="A111" s="801"/>
      <c r="B111" s="801"/>
      <c r="C111" s="801"/>
      <c r="D111" s="801"/>
      <c r="E111" s="801"/>
      <c r="F111" s="801"/>
      <c r="H111" s="634"/>
      <c r="I111" s="545"/>
      <c r="J111" s="545"/>
      <c r="K111" s="545"/>
      <c r="L111" s="545"/>
      <c r="M111" s="634"/>
      <c r="N111" s="545"/>
      <c r="W111" s="545"/>
      <c r="X111" s="545"/>
      <c r="Y111" s="545"/>
      <c r="Z111" s="545"/>
      <c r="AK111" s="22"/>
      <c r="AL111" s="22"/>
      <c r="AM111" s="22"/>
      <c r="AN111" s="22"/>
      <c r="AO111" s="22"/>
      <c r="AP111" s="22"/>
      <c r="AQ111" s="22"/>
    </row>
    <row r="112" spans="1:43" s="647" customFormat="1" x14ac:dyDescent="0.25">
      <c r="A112" s="651"/>
      <c r="B112" s="651"/>
      <c r="C112" s="651"/>
      <c r="D112" s="651"/>
      <c r="E112" s="651"/>
      <c r="F112" s="651"/>
      <c r="H112" s="634"/>
      <c r="I112" s="545"/>
      <c r="J112" s="545"/>
      <c r="K112" s="545"/>
      <c r="L112" s="545"/>
      <c r="M112" s="634"/>
      <c r="N112" s="545"/>
      <c r="W112" s="545"/>
      <c r="X112" s="545"/>
      <c r="Y112" s="545"/>
      <c r="Z112" s="545"/>
      <c r="AK112" s="22"/>
      <c r="AL112" s="22"/>
      <c r="AM112" s="22"/>
      <c r="AN112" s="22"/>
      <c r="AO112" s="22"/>
      <c r="AP112" s="22"/>
      <c r="AQ112" s="22"/>
    </row>
    <row r="113" spans="1:43" s="647" customFormat="1" x14ac:dyDescent="0.25">
      <c r="A113" s="651"/>
      <c r="B113" s="651"/>
      <c r="C113" s="651"/>
      <c r="D113" s="651"/>
      <c r="E113" s="651"/>
      <c r="F113" s="819" t="s">
        <v>453</v>
      </c>
      <c r="G113" s="820">
        <f>+G69+G72</f>
        <v>65.88</v>
      </c>
      <c r="H113" s="820">
        <f>+H69+H72</f>
        <v>60.25</v>
      </c>
      <c r="I113" s="820">
        <f>+I69+I72</f>
        <v>58.69</v>
      </c>
      <c r="J113" s="820">
        <f>+J69+J72</f>
        <v>-6.8100000000000005</v>
      </c>
      <c r="K113" s="293"/>
      <c r="L113" s="545"/>
      <c r="M113" s="634"/>
      <c r="N113" s="545"/>
      <c r="W113" s="545"/>
      <c r="X113" s="545"/>
      <c r="Y113" s="545"/>
      <c r="Z113" s="545"/>
      <c r="AK113" s="22"/>
      <c r="AL113" s="22"/>
      <c r="AM113" s="22"/>
      <c r="AN113" s="22"/>
      <c r="AO113" s="22"/>
      <c r="AP113" s="22"/>
      <c r="AQ113" s="22"/>
    </row>
    <row r="114" spans="1:43" s="647" customFormat="1" x14ac:dyDescent="0.25">
      <c r="A114" s="651"/>
      <c r="B114" s="651"/>
      <c r="C114" s="651"/>
      <c r="D114" s="651"/>
      <c r="E114" s="651"/>
      <c r="F114" s="651"/>
      <c r="H114" s="634"/>
      <c r="I114" s="545"/>
      <c r="J114" s="545"/>
      <c r="K114" s="545"/>
      <c r="L114" s="545"/>
      <c r="M114" s="634"/>
      <c r="N114" s="545"/>
      <c r="W114" s="545"/>
      <c r="X114" s="545"/>
      <c r="Y114" s="545"/>
      <c r="Z114" s="545"/>
      <c r="AK114" s="22"/>
      <c r="AL114" s="22"/>
      <c r="AM114" s="22"/>
      <c r="AN114" s="22"/>
      <c r="AO114" s="22"/>
      <c r="AP114" s="22"/>
      <c r="AQ114" s="22"/>
    </row>
    <row r="115" spans="1:43" s="647" customFormat="1" x14ac:dyDescent="0.25">
      <c r="A115" s="651"/>
      <c r="B115" s="651"/>
      <c r="C115" s="651"/>
      <c r="D115" s="651"/>
      <c r="E115" s="651"/>
      <c r="F115" s="651"/>
      <c r="H115" s="634"/>
      <c r="I115" s="545"/>
      <c r="J115" s="545"/>
      <c r="K115" s="545"/>
      <c r="L115" s="545"/>
      <c r="M115" s="634"/>
      <c r="N115" s="545"/>
      <c r="W115" s="545"/>
      <c r="X115" s="545"/>
      <c r="Y115" s="545"/>
      <c r="Z115" s="545"/>
      <c r="AK115" s="22"/>
      <c r="AL115" s="22"/>
      <c r="AM115" s="22"/>
      <c r="AN115" s="22"/>
      <c r="AO115" s="22"/>
      <c r="AP115" s="22"/>
      <c r="AQ115" s="22"/>
    </row>
    <row r="116" spans="1:43" s="647" customFormat="1" ht="24.6" x14ac:dyDescent="0.25">
      <c r="A116" s="840" t="s">
        <v>567</v>
      </c>
      <c r="B116" s="840"/>
      <c r="C116" s="840"/>
      <c r="D116" s="840"/>
      <c r="E116" s="840"/>
      <c r="F116" s="651"/>
      <c r="H116" s="634"/>
      <c r="I116" s="545"/>
      <c r="J116" s="545"/>
      <c r="K116" s="545"/>
      <c r="L116" s="545"/>
      <c r="M116" s="634"/>
      <c r="N116" s="545"/>
      <c r="W116" s="545"/>
      <c r="X116" s="545"/>
      <c r="Y116" s="545"/>
      <c r="Z116" s="545"/>
      <c r="AK116" s="22"/>
      <c r="AL116" s="22"/>
      <c r="AM116" s="22"/>
      <c r="AN116" s="22"/>
      <c r="AO116" s="22"/>
      <c r="AP116" s="22"/>
      <c r="AQ116" s="22"/>
    </row>
    <row r="117" spans="1:43" s="647" customFormat="1" x14ac:dyDescent="0.25">
      <c r="A117" s="651"/>
      <c r="B117" s="651"/>
      <c r="C117" s="651"/>
      <c r="D117" s="651"/>
      <c r="E117" s="651"/>
      <c r="F117" s="651"/>
      <c r="H117" s="634"/>
      <c r="I117" s="545"/>
      <c r="J117" s="545"/>
      <c r="K117" s="545"/>
      <c r="L117" s="545"/>
      <c r="M117" s="634"/>
      <c r="N117" s="545"/>
      <c r="W117" s="545"/>
      <c r="X117" s="545"/>
      <c r="Y117" s="545"/>
      <c r="Z117" s="545"/>
      <c r="AK117" s="22"/>
      <c r="AL117" s="22"/>
      <c r="AM117" s="22"/>
      <c r="AN117" s="22"/>
      <c r="AO117" s="22"/>
      <c r="AP117" s="22"/>
      <c r="AQ117" s="22"/>
    </row>
    <row r="118" spans="1:43" s="647" customFormat="1" x14ac:dyDescent="0.25">
      <c r="A118" s="651"/>
      <c r="B118" s="651"/>
      <c r="C118" s="651"/>
      <c r="D118" s="651"/>
      <c r="E118" s="651"/>
      <c r="F118" s="651"/>
      <c r="H118" s="634"/>
      <c r="I118" s="545"/>
      <c r="J118" s="545"/>
      <c r="K118" s="545"/>
      <c r="L118" s="545"/>
      <c r="M118" s="634"/>
      <c r="N118" s="545"/>
      <c r="W118" s="545"/>
      <c r="X118" s="545"/>
      <c r="Y118" s="545"/>
      <c r="Z118" s="545"/>
      <c r="AK118" s="22"/>
      <c r="AL118" s="22"/>
      <c r="AM118" s="22"/>
      <c r="AN118" s="22"/>
      <c r="AO118" s="22"/>
      <c r="AP118" s="22"/>
      <c r="AQ118" s="22"/>
    </row>
    <row r="119" spans="1:43" s="647" customFormat="1" ht="17.399999999999999" x14ac:dyDescent="0.25">
      <c r="A119" s="660" t="s">
        <v>458</v>
      </c>
      <c r="B119" s="778"/>
      <c r="C119" s="651"/>
      <c r="D119" s="651"/>
      <c r="E119" s="651"/>
      <c r="F119" s="651"/>
      <c r="H119" s="634"/>
      <c r="I119" s="545"/>
      <c r="J119" s="660" t="s">
        <v>458</v>
      </c>
      <c r="K119" s="545"/>
      <c r="L119" s="545"/>
      <c r="M119" s="634"/>
      <c r="N119" s="545"/>
      <c r="W119" s="545"/>
      <c r="X119" s="545"/>
      <c r="Y119" s="545"/>
      <c r="Z119" s="545"/>
      <c r="AK119" s="22"/>
      <c r="AL119" s="22"/>
      <c r="AM119" s="22"/>
      <c r="AN119" s="22"/>
      <c r="AO119" s="22"/>
      <c r="AP119" s="22"/>
      <c r="AQ119" s="22"/>
    </row>
    <row r="120" spans="1:43" s="647" customFormat="1" x14ac:dyDescent="0.25">
      <c r="A120" s="651"/>
      <c r="B120" s="651"/>
      <c r="C120" s="651"/>
      <c r="D120" s="651"/>
      <c r="E120" s="651"/>
      <c r="F120" s="651"/>
      <c r="H120" s="634"/>
      <c r="I120" s="545"/>
      <c r="K120" s="545"/>
      <c r="L120" s="545"/>
      <c r="M120" s="634"/>
      <c r="N120" s="545"/>
      <c r="W120" s="545"/>
      <c r="X120" s="545"/>
      <c r="Y120" s="545"/>
      <c r="Z120" s="545"/>
      <c r="AK120" s="22"/>
      <c r="AL120" s="22"/>
      <c r="AM120" s="22"/>
      <c r="AN120" s="22"/>
      <c r="AO120" s="22"/>
      <c r="AP120" s="22"/>
      <c r="AQ120" s="22"/>
    </row>
    <row r="121" spans="1:43" x14ac:dyDescent="0.25">
      <c r="A121" s="545"/>
      <c r="B121" s="545"/>
      <c r="C121" s="545"/>
      <c r="D121" s="545"/>
      <c r="F121" s="545"/>
      <c r="G121" s="545"/>
      <c r="H121" s="545"/>
      <c r="I121" s="545"/>
      <c r="J121" s="545"/>
      <c r="K121" s="545"/>
      <c r="L121" s="545"/>
      <c r="M121" s="634"/>
      <c r="N121" s="545"/>
      <c r="W121" s="545"/>
      <c r="X121" s="545"/>
      <c r="Y121" s="545"/>
      <c r="Z121" s="545"/>
    </row>
    <row r="122" spans="1:43" x14ac:dyDescent="0.25">
      <c r="A122" s="545"/>
      <c r="B122" s="545"/>
      <c r="C122" s="545"/>
      <c r="D122" s="545"/>
      <c r="E122" s="545"/>
      <c r="F122" s="545"/>
      <c r="G122" s="545"/>
      <c r="H122" s="545"/>
      <c r="I122" s="545"/>
      <c r="J122" s="545"/>
      <c r="K122" s="545"/>
      <c r="L122" s="545"/>
      <c r="M122" s="634"/>
      <c r="N122" s="545"/>
      <c r="W122" s="545"/>
      <c r="X122" s="545"/>
      <c r="Y122" s="545"/>
      <c r="Z122" s="545"/>
    </row>
    <row r="123" spans="1:43" x14ac:dyDescent="0.25">
      <c r="A123" s="545"/>
      <c r="B123" s="545"/>
      <c r="C123" s="545"/>
      <c r="D123" s="545"/>
      <c r="E123" s="545"/>
      <c r="F123" s="545"/>
      <c r="G123" s="545"/>
      <c r="H123" s="545"/>
      <c r="I123" s="545"/>
      <c r="J123" s="545"/>
      <c r="K123" s="545"/>
      <c r="L123" s="545"/>
      <c r="M123" s="634"/>
      <c r="N123" s="545"/>
      <c r="O123" s="545"/>
      <c r="W123" s="545"/>
      <c r="X123" s="545"/>
      <c r="Y123" s="545"/>
      <c r="Z123" s="545"/>
    </row>
    <row r="124" spans="1:43" ht="12.75" customHeight="1" x14ac:dyDescent="0.25">
      <c r="A124" s="637" t="s">
        <v>438</v>
      </c>
      <c r="B124" s="545"/>
      <c r="C124" s="545"/>
      <c r="D124" s="545"/>
      <c r="E124" s="545"/>
      <c r="F124" s="545"/>
      <c r="G124" s="545"/>
      <c r="H124" s="545"/>
      <c r="I124" s="545"/>
      <c r="J124" s="545"/>
      <c r="K124" s="659"/>
      <c r="L124" s="659"/>
      <c r="N124" s="545"/>
      <c r="O124" s="545"/>
    </row>
    <row r="125" spans="1:43" ht="12.75" customHeight="1" x14ac:dyDescent="0.25">
      <c r="A125" s="545"/>
      <c r="B125" s="650">
        <v>44248</v>
      </c>
      <c r="C125" s="650">
        <v>44256</v>
      </c>
      <c r="D125" s="650">
        <v>44287</v>
      </c>
      <c r="E125" s="650">
        <v>44337</v>
      </c>
      <c r="F125" s="650">
        <v>44348</v>
      </c>
      <c r="G125" s="650">
        <v>44378</v>
      </c>
      <c r="H125" s="650">
        <v>44429</v>
      </c>
      <c r="I125" s="650">
        <v>44460</v>
      </c>
      <c r="J125" s="650">
        <v>44490</v>
      </c>
      <c r="K125" s="650">
        <v>44521</v>
      </c>
      <c r="L125" s="650"/>
      <c r="M125" s="659"/>
      <c r="N125" s="545"/>
    </row>
    <row r="126" spans="1:43" ht="12.75" customHeight="1" x14ac:dyDescent="0.25">
      <c r="A126" s="545" t="s">
        <v>429</v>
      </c>
      <c r="B126" s="646">
        <v>-0.13442299999999999</v>
      </c>
      <c r="C126" s="646">
        <v>-0.122652</v>
      </c>
      <c r="D126" s="646">
        <v>-0.10921</v>
      </c>
      <c r="E126" s="646">
        <v>-9.8958000000000004E-2</v>
      </c>
      <c r="F126" s="646">
        <v>-8.8234999999999994E-2</v>
      </c>
      <c r="G126" s="646">
        <v>-7.3999999999999996E-2</v>
      </c>
      <c r="H126" s="646">
        <v>-6.4046000000000006E-2</v>
      </c>
      <c r="I126" s="646">
        <v>-5.3530000000000001E-2</v>
      </c>
      <c r="J126" s="646">
        <v>-3.9732000000000003E-2</v>
      </c>
      <c r="K126" s="646">
        <f>+J52</f>
        <v>-2.9006000000000001E-2</v>
      </c>
      <c r="L126" s="646"/>
      <c r="M126" s="659"/>
      <c r="N126" s="545"/>
    </row>
    <row r="127" spans="1:43" ht="12.75" customHeight="1" x14ac:dyDescent="0.25">
      <c r="A127" s="638" t="s">
        <v>432</v>
      </c>
      <c r="B127" s="646">
        <v>-1.879513</v>
      </c>
      <c r="C127" s="646">
        <v>-1.797911</v>
      </c>
      <c r="D127" s="646">
        <v>-1.776357</v>
      </c>
      <c r="E127" s="646">
        <v>-1.7422139999999999</v>
      </c>
      <c r="F127" s="646">
        <v>-1.6860710000000001</v>
      </c>
      <c r="G127" s="646">
        <v>-1.6759999999999999</v>
      </c>
      <c r="H127" s="646">
        <v>-1.6037809999999999</v>
      </c>
      <c r="I127" s="646">
        <v>-1.49777</v>
      </c>
      <c r="J127" s="646">
        <v>-1.39436</v>
      </c>
      <c r="K127" s="646">
        <f>+J53</f>
        <v>-1.339</v>
      </c>
      <c r="L127" s="646"/>
      <c r="M127" s="659"/>
      <c r="N127" s="545"/>
    </row>
    <row r="128" spans="1:43" ht="12.75" customHeight="1" x14ac:dyDescent="0.25">
      <c r="A128" s="638" t="s">
        <v>1</v>
      </c>
      <c r="B128" s="646">
        <v>-0.13881199999999999</v>
      </c>
      <c r="C128" s="646">
        <v>-0.12665599999999999</v>
      </c>
      <c r="D128" s="646">
        <v>-0.112775</v>
      </c>
      <c r="E128" s="646">
        <v>-0.102189</v>
      </c>
      <c r="F128" s="646">
        <v>-9.1116000000000003E-2</v>
      </c>
      <c r="G128" s="646">
        <v>-7.7147999999999994E-2</v>
      </c>
      <c r="H128" s="646">
        <v>-6.6137000000000001E-2</v>
      </c>
      <c r="I128" s="646">
        <v>-5.5280000000000003E-2</v>
      </c>
      <c r="J128" s="646">
        <v>-4.1029000000000003E-2</v>
      </c>
      <c r="K128" s="646">
        <f>+J51</f>
        <v>-2.9953E-2</v>
      </c>
      <c r="L128" s="646"/>
      <c r="M128" s="659"/>
      <c r="N128" s="545"/>
    </row>
    <row r="129" spans="1:43" x14ac:dyDescent="0.25">
      <c r="A129" s="638"/>
      <c r="B129" s="545"/>
      <c r="C129" s="545"/>
      <c r="D129" s="545"/>
      <c r="E129" s="545"/>
      <c r="F129" s="545"/>
      <c r="G129" s="545"/>
      <c r="H129" s="545"/>
      <c r="I129" s="545"/>
      <c r="J129" s="648"/>
      <c r="K129" s="648"/>
      <c r="L129" s="648"/>
      <c r="M129" s="545"/>
      <c r="N129" s="545"/>
    </row>
    <row r="130" spans="1:43" s="661" customFormat="1" x14ac:dyDescent="0.25">
      <c r="A130" s="639" t="s">
        <v>105</v>
      </c>
      <c r="B130" s="662">
        <f t="shared" ref="B130:K130" si="2">SUM(B126:B128)</f>
        <v>-2.1527480000000003</v>
      </c>
      <c r="C130" s="662">
        <f t="shared" si="2"/>
        <v>-2.0472190000000001</v>
      </c>
      <c r="D130" s="662">
        <f t="shared" si="2"/>
        <v>-1.9983420000000001</v>
      </c>
      <c r="E130" s="662">
        <f t="shared" si="2"/>
        <v>-1.9433610000000001</v>
      </c>
      <c r="F130" s="662">
        <f t="shared" si="2"/>
        <v>-1.8654220000000001</v>
      </c>
      <c r="G130" s="662">
        <f t="shared" si="2"/>
        <v>-1.827148</v>
      </c>
      <c r="H130" s="662">
        <f t="shared" si="2"/>
        <v>-1.7339639999999998</v>
      </c>
      <c r="I130" s="662">
        <f t="shared" si="2"/>
        <v>-1.6065800000000001</v>
      </c>
      <c r="J130" s="662">
        <f t="shared" si="2"/>
        <v>-1.4751210000000001</v>
      </c>
      <c r="K130" s="662">
        <f t="shared" si="2"/>
        <v>-1.397959</v>
      </c>
      <c r="L130" s="662"/>
      <c r="M130" s="637"/>
      <c r="N130" s="637"/>
      <c r="AK130" s="670"/>
      <c r="AL130" s="670"/>
      <c r="AM130" s="670"/>
      <c r="AN130" s="670"/>
      <c r="AO130" s="670"/>
      <c r="AP130" s="670"/>
      <c r="AQ130" s="670"/>
    </row>
    <row r="131" spans="1:43" x14ac:dyDescent="0.25">
      <c r="A131" s="638"/>
      <c r="B131" s="545"/>
      <c r="C131" s="545"/>
      <c r="D131" s="545"/>
      <c r="E131" s="545"/>
      <c r="F131" s="545"/>
      <c r="G131" s="545"/>
      <c r="H131" s="545"/>
      <c r="I131" s="545"/>
      <c r="J131" s="545"/>
      <c r="K131" s="545"/>
      <c r="L131" s="545"/>
      <c r="M131" s="545"/>
      <c r="N131" s="545"/>
    </row>
    <row r="132" spans="1:43" x14ac:dyDescent="0.25">
      <c r="A132" s="638"/>
      <c r="B132" s="545"/>
      <c r="C132" s="545"/>
      <c r="D132" s="545"/>
      <c r="E132" s="545"/>
      <c r="F132" s="545"/>
      <c r="G132" s="545"/>
      <c r="H132" s="545"/>
      <c r="I132" s="545"/>
      <c r="J132" s="545"/>
      <c r="K132" s="545"/>
      <c r="L132" s="545"/>
      <c r="M132" s="545"/>
      <c r="N132" s="545"/>
    </row>
    <row r="133" spans="1:43" x14ac:dyDescent="0.25">
      <c r="A133" s="639" t="s">
        <v>456</v>
      </c>
      <c r="B133" s="545"/>
      <c r="C133" s="545"/>
      <c r="D133" s="545"/>
      <c r="E133" s="545"/>
      <c r="F133" s="545"/>
      <c r="G133" s="545"/>
      <c r="H133" s="545"/>
      <c r="I133" s="545"/>
      <c r="J133" s="545"/>
      <c r="K133" s="545"/>
      <c r="L133" s="545"/>
      <c r="M133" s="545"/>
      <c r="N133" s="545"/>
    </row>
    <row r="134" spans="1:43" x14ac:dyDescent="0.25">
      <c r="A134" s="638"/>
      <c r="B134" s="649">
        <f t="shared" ref="B134:J134" si="3">+B125</f>
        <v>44248</v>
      </c>
      <c r="C134" s="649">
        <f t="shared" si="3"/>
        <v>44256</v>
      </c>
      <c r="D134" s="649">
        <f t="shared" si="3"/>
        <v>44287</v>
      </c>
      <c r="E134" s="649">
        <f t="shared" si="3"/>
        <v>44337</v>
      </c>
      <c r="F134" s="649">
        <f t="shared" si="3"/>
        <v>44348</v>
      </c>
      <c r="G134" s="649">
        <f t="shared" si="3"/>
        <v>44378</v>
      </c>
      <c r="H134" s="649">
        <f t="shared" si="3"/>
        <v>44429</v>
      </c>
      <c r="I134" s="649">
        <f t="shared" si="3"/>
        <v>44460</v>
      </c>
      <c r="J134" s="649">
        <f t="shared" si="3"/>
        <v>44490</v>
      </c>
      <c r="K134" s="649">
        <f>K125</f>
        <v>44521</v>
      </c>
      <c r="L134" s="649"/>
      <c r="M134" s="545"/>
      <c r="N134" s="545"/>
    </row>
    <row r="135" spans="1:43" x14ac:dyDescent="0.25">
      <c r="A135" s="644" t="s">
        <v>599</v>
      </c>
      <c r="B135" s="646">
        <v>-0.28000000000000114</v>
      </c>
      <c r="C135" s="646">
        <v>-0.25</v>
      </c>
      <c r="D135" s="646">
        <v>4.0000000000000924E-2</v>
      </c>
      <c r="E135" s="646">
        <v>9.9999999999999645E-2</v>
      </c>
      <c r="F135" s="646">
        <v>1.2100000000000009</v>
      </c>
      <c r="G135" s="646">
        <v>1.7100000000000009</v>
      </c>
      <c r="H135" s="646">
        <v>2.5299999999999976</v>
      </c>
      <c r="I135" s="646">
        <v>4.3499999999999979</v>
      </c>
      <c r="J135" s="646">
        <v>4.3999999999999986</v>
      </c>
      <c r="K135" s="646">
        <f>+J55</f>
        <v>4.0300000000000011</v>
      </c>
      <c r="L135" s="646"/>
      <c r="M135" s="545"/>
      <c r="N135" s="545"/>
    </row>
    <row r="136" spans="1:43" x14ac:dyDescent="0.25">
      <c r="A136" s="779" t="s">
        <v>464</v>
      </c>
      <c r="B136" s="646">
        <v>0.58999999999999986</v>
      </c>
      <c r="C136" s="646">
        <v>0.29000000000000004</v>
      </c>
      <c r="D136" s="646">
        <v>0.67999999999999972</v>
      </c>
      <c r="E136" s="646">
        <v>0.75</v>
      </c>
      <c r="F136" s="646">
        <v>1.6600000000000001</v>
      </c>
      <c r="G136" s="646">
        <v>2.0599999999999996</v>
      </c>
      <c r="H136" s="646">
        <v>2.4299999999999997</v>
      </c>
      <c r="I136" s="646">
        <v>3.9099999999999997</v>
      </c>
      <c r="J136" s="646">
        <v>3.1799999999999997</v>
      </c>
      <c r="K136" s="646">
        <f>+J60</f>
        <v>2.08</v>
      </c>
      <c r="L136" s="646"/>
      <c r="M136" s="545"/>
      <c r="N136" s="545"/>
    </row>
    <row r="137" spans="1:43" s="647" customFormat="1" x14ac:dyDescent="0.25">
      <c r="A137" s="644" t="s">
        <v>450</v>
      </c>
      <c r="B137" s="646">
        <v>1.0999999999999996</v>
      </c>
      <c r="C137" s="646">
        <v>1.0900000000000016</v>
      </c>
      <c r="D137" s="646">
        <v>1.3800000000000008</v>
      </c>
      <c r="E137" s="646">
        <v>1.7400000000000002</v>
      </c>
      <c r="F137" s="646">
        <v>3.1499999999999986</v>
      </c>
      <c r="G137" s="646">
        <v>4.1500000000000021</v>
      </c>
      <c r="H137" s="646">
        <v>5.0499999999999989</v>
      </c>
      <c r="I137" s="646">
        <v>8.24</v>
      </c>
      <c r="J137" s="646">
        <v>8</v>
      </c>
      <c r="K137" s="646">
        <f>+J58</f>
        <v>6.6799999999999979</v>
      </c>
      <c r="L137" s="646"/>
      <c r="M137" s="545"/>
      <c r="N137" s="545"/>
      <c r="AK137" s="22"/>
      <c r="AL137" s="22"/>
      <c r="AM137" s="22"/>
      <c r="AN137" s="22"/>
      <c r="AO137" s="22"/>
      <c r="AP137" s="22"/>
      <c r="AQ137" s="22"/>
    </row>
    <row r="138" spans="1:43" s="647" customFormat="1" x14ac:dyDescent="0.25">
      <c r="A138" s="644" t="s">
        <v>472</v>
      </c>
      <c r="B138" s="646">
        <v>6.999999999999984E-2</v>
      </c>
      <c r="C138" s="646">
        <v>3.0000000000000027E-2</v>
      </c>
      <c r="D138" s="646">
        <v>9.000000000000008E-2</v>
      </c>
      <c r="E138" s="646">
        <v>0.1100000000000001</v>
      </c>
      <c r="F138" s="646">
        <v>0.26</v>
      </c>
      <c r="G138" s="646">
        <v>0.32999999999999985</v>
      </c>
      <c r="H138" s="646">
        <v>0.39000000000000012</v>
      </c>
      <c r="I138" s="646">
        <v>0.63</v>
      </c>
      <c r="J138" s="646">
        <v>0.52999999999999992</v>
      </c>
      <c r="K138" s="646">
        <f>+J59</f>
        <v>0.39999999999999991</v>
      </c>
      <c r="L138" s="646"/>
      <c r="M138" s="545"/>
      <c r="N138" s="545"/>
      <c r="AK138" s="22"/>
      <c r="AL138" s="22"/>
      <c r="AM138" s="22"/>
      <c r="AN138" s="22"/>
      <c r="AO138" s="22"/>
      <c r="AP138" s="22"/>
      <c r="AQ138" s="22"/>
    </row>
    <row r="139" spans="1:43" s="647" customFormat="1" x14ac:dyDescent="0.25">
      <c r="A139" s="815" t="s">
        <v>585</v>
      </c>
      <c r="B139" s="646">
        <v>0.01</v>
      </c>
      <c r="C139" s="646">
        <v>0</v>
      </c>
      <c r="D139" s="646">
        <v>1.0000000000000009E-2</v>
      </c>
      <c r="E139" s="646">
        <v>3.0000000000000027E-2</v>
      </c>
      <c r="F139" s="646">
        <v>4.9999999999999989E-2</v>
      </c>
      <c r="G139" s="646">
        <v>8.0000000000000016E-2</v>
      </c>
      <c r="H139" s="646">
        <v>8.0000000000000016E-2</v>
      </c>
      <c r="I139" s="646">
        <v>0.10999999999999999</v>
      </c>
      <c r="J139" s="646">
        <v>0.14000000000000001</v>
      </c>
      <c r="K139" s="646">
        <f>+J63</f>
        <v>0.13</v>
      </c>
      <c r="L139" s="646"/>
      <c r="M139" s="545"/>
      <c r="N139" s="545"/>
      <c r="AK139" s="22"/>
      <c r="AL139" s="22"/>
      <c r="AM139" s="22"/>
      <c r="AN139" s="22"/>
      <c r="AO139" s="22"/>
      <c r="AP139" s="22"/>
      <c r="AQ139" s="22"/>
    </row>
    <row r="140" spans="1:43" s="545" customFormat="1" x14ac:dyDescent="0.25">
      <c r="A140" s="644" t="s">
        <v>431</v>
      </c>
      <c r="B140" s="646">
        <v>0</v>
      </c>
      <c r="C140" s="646">
        <v>-9.999999999999995E-3</v>
      </c>
      <c r="D140" s="646">
        <v>0</v>
      </c>
      <c r="E140" s="646">
        <v>0</v>
      </c>
      <c r="F140" s="646">
        <v>0</v>
      </c>
      <c r="G140" s="646">
        <v>0</v>
      </c>
      <c r="H140" s="646">
        <v>0</v>
      </c>
      <c r="I140" s="646">
        <v>0</v>
      </c>
      <c r="J140" s="646">
        <v>0</v>
      </c>
      <c r="K140" s="646">
        <f>+J64</f>
        <v>0</v>
      </c>
      <c r="L140" s="646"/>
      <c r="AK140" s="584"/>
      <c r="AL140" s="584"/>
      <c r="AM140" s="584"/>
      <c r="AN140" s="584"/>
      <c r="AO140" s="584"/>
      <c r="AP140" s="584"/>
      <c r="AQ140" s="584"/>
    </row>
    <row r="141" spans="1:43" s="647" customFormat="1" x14ac:dyDescent="0.25">
      <c r="A141" s="644" t="s">
        <v>448</v>
      </c>
      <c r="B141" s="646">
        <v>0</v>
      </c>
      <c r="C141" s="646">
        <v>-1.0000000000000009E-2</v>
      </c>
      <c r="D141" s="646">
        <v>1.9999999999999962E-2</v>
      </c>
      <c r="E141" s="646">
        <v>4.0000000000000036E-2</v>
      </c>
      <c r="F141" s="646">
        <v>0.10999999999999999</v>
      </c>
      <c r="G141" s="646">
        <v>0.10999999999999999</v>
      </c>
      <c r="H141" s="646">
        <v>7.9999999999999988E-2</v>
      </c>
      <c r="I141" s="646">
        <v>7.0000000000000007E-2</v>
      </c>
      <c r="J141" s="646">
        <v>0.05</v>
      </c>
      <c r="K141" s="646">
        <f>+J66</f>
        <v>0.05</v>
      </c>
      <c r="L141" s="646"/>
      <c r="M141" s="545"/>
      <c r="N141" s="545"/>
      <c r="AK141" s="22"/>
      <c r="AL141" s="22"/>
      <c r="AM141" s="22"/>
      <c r="AN141" s="22"/>
      <c r="AO141" s="22"/>
      <c r="AP141" s="22"/>
      <c r="AQ141" s="22"/>
    </row>
    <row r="142" spans="1:43" s="645" customFormat="1" x14ac:dyDescent="0.25">
      <c r="A142" s="644" t="s">
        <v>444</v>
      </c>
      <c r="B142" s="646">
        <v>-0.12000000000000011</v>
      </c>
      <c r="C142" s="646">
        <v>-0.11000000000000004</v>
      </c>
      <c r="D142" s="646">
        <v>-4.9999999999999822E-2</v>
      </c>
      <c r="E142" s="646">
        <v>3.0000000000000027E-2</v>
      </c>
      <c r="F142" s="646">
        <v>0.32999999999999974</v>
      </c>
      <c r="G142" s="646">
        <v>0.56000000000000005</v>
      </c>
      <c r="H142" s="646">
        <v>0.71</v>
      </c>
      <c r="I142" s="646">
        <v>1.1799999999999997</v>
      </c>
      <c r="J142" s="646">
        <v>1.3299999999999998</v>
      </c>
      <c r="K142" s="646">
        <f>+J67+J62</f>
        <v>1.27</v>
      </c>
      <c r="L142" s="646"/>
      <c r="M142" s="545"/>
      <c r="N142" s="545"/>
      <c r="P142" s="647"/>
      <c r="Q142" s="647"/>
      <c r="R142" s="647"/>
      <c r="S142" s="647"/>
      <c r="T142" s="647"/>
      <c r="U142" s="647"/>
      <c r="AK142" s="22"/>
      <c r="AL142" s="22"/>
      <c r="AM142" s="22"/>
      <c r="AN142" s="22"/>
      <c r="AO142" s="22"/>
      <c r="AP142" s="22"/>
      <c r="AQ142" s="22"/>
    </row>
    <row r="143" spans="1:43" s="647" customFormat="1" x14ac:dyDescent="0.25">
      <c r="A143" s="644" t="s">
        <v>1</v>
      </c>
      <c r="B143" s="646">
        <v>-9.9999999999999867E-2</v>
      </c>
      <c r="C143" s="646">
        <v>0.11000000000000076</v>
      </c>
      <c r="D143" s="646">
        <v>0.2799999999999998</v>
      </c>
      <c r="E143" s="646">
        <v>0.46000000000000013</v>
      </c>
      <c r="F143" s="646">
        <v>1.149999999999999</v>
      </c>
      <c r="G143" s="646">
        <v>1.5399999999999998</v>
      </c>
      <c r="H143" s="646">
        <v>2.2099999999999991</v>
      </c>
      <c r="I143" s="646">
        <v>3.9299999999999979</v>
      </c>
      <c r="J143" s="646">
        <v>4.4399999999999995</v>
      </c>
      <c r="K143" s="646">
        <f>+J61+J65</f>
        <v>4.4800000000000004</v>
      </c>
      <c r="L143" s="646"/>
      <c r="M143" s="545"/>
      <c r="N143" s="545"/>
      <c r="AK143" s="22"/>
      <c r="AL143" s="22"/>
      <c r="AM143" s="22"/>
      <c r="AN143" s="22"/>
      <c r="AO143" s="22"/>
      <c r="AP143" s="22"/>
      <c r="AQ143" s="22"/>
    </row>
    <row r="144" spans="1:43" s="647" customFormat="1" x14ac:dyDescent="0.25">
      <c r="A144" s="644" t="s">
        <v>462</v>
      </c>
      <c r="B144" s="646">
        <v>-1.9499999999999997</v>
      </c>
      <c r="C144" s="646">
        <v>-1.9000000000000004</v>
      </c>
      <c r="D144" s="646">
        <v>-1.7699999999999996</v>
      </c>
      <c r="E144" s="646">
        <v>-1.6799999999999997</v>
      </c>
      <c r="F144" s="646">
        <v>-1.3199999999999998</v>
      </c>
      <c r="G144" s="646">
        <v>-1.04</v>
      </c>
      <c r="H144" s="646">
        <v>-1.0099999999999998</v>
      </c>
      <c r="I144" s="646">
        <v>-0.12999999999999989</v>
      </c>
      <c r="J144" s="646">
        <v>0.29999999999999982</v>
      </c>
      <c r="K144" s="646">
        <f>+J68</f>
        <v>0.26000000000000068</v>
      </c>
      <c r="L144" s="646"/>
      <c r="M144" s="545"/>
      <c r="N144" s="545"/>
      <c r="AK144" s="22"/>
      <c r="AL144" s="22"/>
      <c r="AM144" s="22"/>
      <c r="AN144" s="22"/>
      <c r="AO144" s="22"/>
      <c r="AP144" s="22"/>
      <c r="AQ144" s="22"/>
    </row>
    <row r="145" spans="1:43" s="647" customFormat="1" x14ac:dyDescent="0.25">
      <c r="A145" s="644" t="s">
        <v>546</v>
      </c>
      <c r="B145" s="646">
        <v>-8.9722220000000004</v>
      </c>
      <c r="C145" s="646">
        <v>-8.875</v>
      </c>
      <c r="D145" s="646">
        <v>-8.7777779999999996</v>
      </c>
      <c r="E145" s="646">
        <v>-8.6805559999999993</v>
      </c>
      <c r="F145" s="646">
        <v>-8.5833329999999997</v>
      </c>
      <c r="G145" s="646">
        <v>-8.4861109999999993</v>
      </c>
      <c r="H145" s="646">
        <v>-8.3888890000000007</v>
      </c>
      <c r="I145" s="646">
        <v>-8.9166699999999999</v>
      </c>
      <c r="J145" s="646">
        <v>-8.1944440000000007</v>
      </c>
      <c r="K145" s="749">
        <f>+J71</f>
        <v>-8.0972220000000004</v>
      </c>
      <c r="M145" s="545"/>
      <c r="N145" s="545"/>
      <c r="AK145" s="22"/>
      <c r="AL145" s="22"/>
      <c r="AM145" s="22"/>
      <c r="AN145" s="22"/>
      <c r="AO145" s="22"/>
      <c r="AP145" s="22"/>
      <c r="AQ145" s="22"/>
    </row>
    <row r="146" spans="1:43" s="647" customFormat="1" x14ac:dyDescent="0.25">
      <c r="A146" s="644" t="s">
        <v>584</v>
      </c>
      <c r="B146" s="646">
        <v>-22.16</v>
      </c>
      <c r="C146" s="646">
        <v>-22.16</v>
      </c>
      <c r="D146" s="646">
        <v>-22.16</v>
      </c>
      <c r="E146" s="646">
        <v>-22.16</v>
      </c>
      <c r="F146" s="646">
        <v>-22.16</v>
      </c>
      <c r="G146" s="646">
        <v>-22.16</v>
      </c>
      <c r="H146" s="646">
        <v>-22.16</v>
      </c>
      <c r="I146" s="646">
        <v>-22.16</v>
      </c>
      <c r="J146" s="646">
        <v>-22.16</v>
      </c>
      <c r="K146" s="749">
        <f>+J72</f>
        <v>-22.16</v>
      </c>
      <c r="M146" s="545"/>
      <c r="N146" s="545"/>
      <c r="AK146" s="22"/>
      <c r="AL146" s="22"/>
      <c r="AM146" s="22"/>
      <c r="AN146" s="22"/>
      <c r="AO146" s="22"/>
      <c r="AP146" s="22"/>
      <c r="AQ146" s="22"/>
    </row>
    <row r="147" spans="1:43" s="661" customFormat="1" x14ac:dyDescent="0.25">
      <c r="A147" s="639" t="s">
        <v>105</v>
      </c>
      <c r="B147" s="662">
        <f t="shared" ref="B147:K147" si="4">SUM(B135:B146)</f>
        <v>-31.812222000000002</v>
      </c>
      <c r="C147" s="662">
        <f t="shared" si="4"/>
        <v>-31.794999999999998</v>
      </c>
      <c r="D147" s="662">
        <f t="shared" si="4"/>
        <v>-30.257777999999998</v>
      </c>
      <c r="E147" s="662">
        <f t="shared" si="4"/>
        <v>-29.260555999999998</v>
      </c>
      <c r="F147" s="662">
        <f t="shared" si="4"/>
        <v>-24.143333000000002</v>
      </c>
      <c r="G147" s="662">
        <f t="shared" si="4"/>
        <v>-21.146110999999998</v>
      </c>
      <c r="H147" s="662">
        <f t="shared" si="4"/>
        <v>-18.078889000000004</v>
      </c>
      <c r="I147" s="662">
        <f t="shared" si="4"/>
        <v>-8.7866700000000044</v>
      </c>
      <c r="J147" s="662">
        <f t="shared" si="4"/>
        <v>-7.9844439999999999</v>
      </c>
      <c r="K147" s="662">
        <f t="shared" si="4"/>
        <v>-10.877221999999998</v>
      </c>
      <c r="L147" s="662"/>
      <c r="M147" s="637"/>
      <c r="N147" s="637"/>
      <c r="AK147" s="670"/>
      <c r="AL147" s="670"/>
      <c r="AM147" s="670"/>
      <c r="AN147" s="670"/>
      <c r="AO147" s="670"/>
      <c r="AP147" s="670"/>
      <c r="AQ147" s="670"/>
    </row>
    <row r="148" spans="1:43" x14ac:dyDescent="0.25">
      <c r="A148" s="644"/>
      <c r="B148" s="545"/>
      <c r="C148" s="545"/>
      <c r="D148" s="545"/>
      <c r="E148" s="545"/>
      <c r="F148" s="545"/>
      <c r="G148" s="545"/>
      <c r="H148" s="545"/>
      <c r="I148" s="545"/>
      <c r="J148" s="545"/>
      <c r="K148" s="545"/>
      <c r="L148" s="545"/>
      <c r="M148" s="545"/>
      <c r="N148" s="545"/>
    </row>
    <row r="149" spans="1:43" s="661" customFormat="1" x14ac:dyDescent="0.25">
      <c r="A149" s="639" t="s">
        <v>106</v>
      </c>
      <c r="B149" s="662">
        <f t="shared" ref="B149:K149" si="5">+B147+B130</f>
        <v>-33.964970000000001</v>
      </c>
      <c r="C149" s="662">
        <f t="shared" si="5"/>
        <v>-33.842219</v>
      </c>
      <c r="D149" s="662">
        <f t="shared" si="5"/>
        <v>-32.256119999999996</v>
      </c>
      <c r="E149" s="662">
        <f t="shared" si="5"/>
        <v>-31.203916999999997</v>
      </c>
      <c r="F149" s="662">
        <f t="shared" si="5"/>
        <v>-26.008755000000001</v>
      </c>
      <c r="G149" s="662">
        <f t="shared" si="5"/>
        <v>-22.973258999999999</v>
      </c>
      <c r="H149" s="662">
        <f t="shared" si="5"/>
        <v>-19.812853000000004</v>
      </c>
      <c r="I149" s="662">
        <f t="shared" si="5"/>
        <v>-10.393250000000005</v>
      </c>
      <c r="J149" s="662">
        <f t="shared" si="5"/>
        <v>-9.4595649999999996</v>
      </c>
      <c r="K149" s="662">
        <f t="shared" si="5"/>
        <v>-12.275180999999998</v>
      </c>
      <c r="L149" s="662"/>
      <c r="M149" s="637"/>
      <c r="N149" s="637"/>
      <c r="AK149" s="670"/>
      <c r="AL149" s="670"/>
      <c r="AM149" s="670"/>
      <c r="AN149" s="670"/>
      <c r="AO149" s="670"/>
      <c r="AP149" s="670"/>
      <c r="AQ149" s="670"/>
    </row>
    <row r="150" spans="1:43" x14ac:dyDescent="0.25">
      <c r="A150" s="640"/>
      <c r="B150" s="545"/>
      <c r="C150" s="545"/>
      <c r="D150" s="545"/>
      <c r="E150" s="545"/>
      <c r="F150" s="545"/>
      <c r="G150" s="545"/>
      <c r="H150" s="545"/>
      <c r="I150" s="545"/>
      <c r="J150" s="545"/>
      <c r="K150" s="545"/>
      <c r="L150" s="545"/>
      <c r="M150" s="545"/>
      <c r="N150" s="545"/>
    </row>
    <row r="151" spans="1:43" x14ac:dyDescent="0.25">
      <c r="A151" s="545"/>
      <c r="B151" s="545"/>
      <c r="C151" s="545"/>
      <c r="D151" s="545"/>
      <c r="E151" s="545"/>
      <c r="F151" s="545"/>
      <c r="G151" s="545"/>
      <c r="H151" s="545"/>
      <c r="I151" s="545"/>
      <c r="J151" s="545"/>
      <c r="K151" s="545"/>
      <c r="L151" s="545"/>
      <c r="M151" s="545"/>
      <c r="N151" s="545"/>
    </row>
    <row r="152" spans="1:43" x14ac:dyDescent="0.25">
      <c r="A152" s="637" t="s">
        <v>439</v>
      </c>
      <c r="B152" s="545"/>
      <c r="C152" s="545"/>
      <c r="D152" s="545"/>
      <c r="E152" s="545"/>
      <c r="F152" s="545"/>
      <c r="G152" s="545"/>
      <c r="H152" s="545"/>
      <c r="I152" s="545"/>
      <c r="J152" s="545"/>
      <c r="K152" s="545"/>
      <c r="L152" s="545"/>
      <c r="M152" s="545"/>
      <c r="N152" s="545"/>
    </row>
    <row r="153" spans="1:43" x14ac:dyDescent="0.25">
      <c r="A153" s="545"/>
      <c r="B153" s="649">
        <f t="shared" ref="B153:K153" si="6">+B125</f>
        <v>44248</v>
      </c>
      <c r="C153" s="649">
        <f t="shared" si="6"/>
        <v>44256</v>
      </c>
      <c r="D153" s="649">
        <f t="shared" si="6"/>
        <v>44287</v>
      </c>
      <c r="E153" s="649">
        <f t="shared" si="6"/>
        <v>44337</v>
      </c>
      <c r="F153" s="649">
        <f t="shared" si="6"/>
        <v>44348</v>
      </c>
      <c r="G153" s="649">
        <f t="shared" si="6"/>
        <v>44378</v>
      </c>
      <c r="H153" s="649">
        <f t="shared" si="6"/>
        <v>44429</v>
      </c>
      <c r="I153" s="649">
        <f t="shared" si="6"/>
        <v>44460</v>
      </c>
      <c r="J153" s="649">
        <f t="shared" si="6"/>
        <v>44490</v>
      </c>
      <c r="K153" s="649">
        <f t="shared" si="6"/>
        <v>44521</v>
      </c>
      <c r="L153" s="649"/>
      <c r="M153" s="545"/>
      <c r="N153" s="545"/>
    </row>
    <row r="154" spans="1:43" x14ac:dyDescent="0.25">
      <c r="A154" s="545" t="s">
        <v>429</v>
      </c>
      <c r="B154" s="646">
        <f t="shared" ref="B154:K154" si="7">+B126</f>
        <v>-0.13442299999999999</v>
      </c>
      <c r="C154" s="646">
        <f t="shared" ref="C154:J154" si="8">+C126</f>
        <v>-0.122652</v>
      </c>
      <c r="D154" s="646">
        <f t="shared" si="8"/>
        <v>-0.10921</v>
      </c>
      <c r="E154" s="646">
        <f t="shared" si="8"/>
        <v>-9.8958000000000004E-2</v>
      </c>
      <c r="F154" s="646">
        <f t="shared" si="8"/>
        <v>-8.8234999999999994E-2</v>
      </c>
      <c r="G154" s="646">
        <f t="shared" si="8"/>
        <v>-7.3999999999999996E-2</v>
      </c>
      <c r="H154" s="646">
        <f t="shared" si="8"/>
        <v>-6.4046000000000006E-2</v>
      </c>
      <c r="I154" s="646">
        <f t="shared" si="8"/>
        <v>-5.3530000000000001E-2</v>
      </c>
      <c r="J154" s="646">
        <f t="shared" si="8"/>
        <v>-3.9732000000000003E-2</v>
      </c>
      <c r="K154" s="646">
        <f t="shared" si="7"/>
        <v>-2.9006000000000001E-2</v>
      </c>
      <c r="L154" s="646"/>
      <c r="M154" s="545"/>
      <c r="N154" s="545"/>
    </row>
    <row r="155" spans="1:43" x14ac:dyDescent="0.25">
      <c r="A155" s="545" t="s">
        <v>430</v>
      </c>
      <c r="B155" s="646">
        <f t="shared" ref="B155:K155" si="9">+B127</f>
        <v>-1.879513</v>
      </c>
      <c r="C155" s="646">
        <f t="shared" ref="C155:J155" si="10">+C127</f>
        <v>-1.797911</v>
      </c>
      <c r="D155" s="646">
        <f t="shared" si="10"/>
        <v>-1.776357</v>
      </c>
      <c r="E155" s="646">
        <f t="shared" si="10"/>
        <v>-1.7422139999999999</v>
      </c>
      <c r="F155" s="646">
        <f t="shared" si="10"/>
        <v>-1.6860710000000001</v>
      </c>
      <c r="G155" s="646">
        <f t="shared" si="10"/>
        <v>-1.6759999999999999</v>
      </c>
      <c r="H155" s="646">
        <f t="shared" si="10"/>
        <v>-1.6037809999999999</v>
      </c>
      <c r="I155" s="646">
        <f t="shared" si="10"/>
        <v>-1.49777</v>
      </c>
      <c r="J155" s="646">
        <f t="shared" si="10"/>
        <v>-1.39436</v>
      </c>
      <c r="K155" s="646">
        <f t="shared" si="9"/>
        <v>-1.339</v>
      </c>
      <c r="L155" s="646"/>
      <c r="M155" s="545"/>
      <c r="N155" s="545"/>
    </row>
    <row r="156" spans="1:43" x14ac:dyDescent="0.25">
      <c r="A156" s="545" t="s">
        <v>1</v>
      </c>
      <c r="B156" s="646">
        <f>+B128+B143</f>
        <v>-0.23881199999999986</v>
      </c>
      <c r="C156" s="646">
        <f t="shared" ref="C156:J156" si="11">+C128+C143</f>
        <v>-1.6655999999999227E-2</v>
      </c>
      <c r="D156" s="646">
        <f t="shared" si="11"/>
        <v>0.16722499999999979</v>
      </c>
      <c r="E156" s="646">
        <f t="shared" si="11"/>
        <v>0.3578110000000001</v>
      </c>
      <c r="F156" s="646">
        <f t="shared" si="11"/>
        <v>1.058883999999999</v>
      </c>
      <c r="G156" s="646">
        <f t="shared" si="11"/>
        <v>1.4628519999999998</v>
      </c>
      <c r="H156" s="646">
        <f t="shared" si="11"/>
        <v>2.1438629999999992</v>
      </c>
      <c r="I156" s="646">
        <f t="shared" si="11"/>
        <v>3.8747199999999977</v>
      </c>
      <c r="J156" s="646">
        <f t="shared" si="11"/>
        <v>4.3989709999999995</v>
      </c>
      <c r="K156" s="646">
        <f>+K128+K143</f>
        <v>4.4500470000000005</v>
      </c>
      <c r="L156" s="646"/>
      <c r="M156" s="545"/>
      <c r="N156" s="545"/>
    </row>
    <row r="157" spans="1:43" x14ac:dyDescent="0.25">
      <c r="A157" s="644" t="s">
        <v>599</v>
      </c>
      <c r="B157" s="646">
        <f t="shared" ref="B157:K157" si="12">+B135</f>
        <v>-0.28000000000000114</v>
      </c>
      <c r="C157" s="646">
        <f t="shared" ref="C157:J157" si="13">+C135</f>
        <v>-0.25</v>
      </c>
      <c r="D157" s="646">
        <f t="shared" si="13"/>
        <v>4.0000000000000924E-2</v>
      </c>
      <c r="E157" s="646">
        <f t="shared" si="13"/>
        <v>9.9999999999999645E-2</v>
      </c>
      <c r="F157" s="646">
        <f t="shared" si="13"/>
        <v>1.2100000000000009</v>
      </c>
      <c r="G157" s="646">
        <f t="shared" si="13"/>
        <v>1.7100000000000009</v>
      </c>
      <c r="H157" s="646">
        <f t="shared" si="13"/>
        <v>2.5299999999999976</v>
      </c>
      <c r="I157" s="646">
        <f t="shared" si="13"/>
        <v>4.3499999999999979</v>
      </c>
      <c r="J157" s="646">
        <f t="shared" si="13"/>
        <v>4.3999999999999986</v>
      </c>
      <c r="K157" s="646">
        <f t="shared" si="12"/>
        <v>4.0300000000000011</v>
      </c>
      <c r="L157" s="646"/>
      <c r="M157" s="545"/>
      <c r="N157" s="545"/>
    </row>
    <row r="158" spans="1:43" x14ac:dyDescent="0.25">
      <c r="A158" s="779" t="s">
        <v>464</v>
      </c>
      <c r="B158" s="646">
        <f t="shared" ref="B158:K158" si="14">+B136</f>
        <v>0.58999999999999986</v>
      </c>
      <c r="C158" s="646">
        <f t="shared" ref="C158:J158" si="15">+C136</f>
        <v>0.29000000000000004</v>
      </c>
      <c r="D158" s="646">
        <f t="shared" si="15"/>
        <v>0.67999999999999972</v>
      </c>
      <c r="E158" s="646">
        <f t="shared" si="15"/>
        <v>0.75</v>
      </c>
      <c r="F158" s="646">
        <f t="shared" si="15"/>
        <v>1.6600000000000001</v>
      </c>
      <c r="G158" s="646">
        <f t="shared" si="15"/>
        <v>2.0599999999999996</v>
      </c>
      <c r="H158" s="646">
        <f t="shared" si="15"/>
        <v>2.4299999999999997</v>
      </c>
      <c r="I158" s="646">
        <f t="shared" si="15"/>
        <v>3.9099999999999997</v>
      </c>
      <c r="J158" s="646">
        <f t="shared" si="15"/>
        <v>3.1799999999999997</v>
      </c>
      <c r="K158" s="646">
        <f t="shared" si="14"/>
        <v>2.08</v>
      </c>
      <c r="L158" s="646"/>
      <c r="M158" s="545"/>
      <c r="N158" s="545"/>
    </row>
    <row r="159" spans="1:43" s="647" customFormat="1" x14ac:dyDescent="0.25">
      <c r="A159" s="644" t="s">
        <v>450</v>
      </c>
      <c r="B159" s="646">
        <f t="shared" ref="B159:K159" si="16">+B137</f>
        <v>1.0999999999999996</v>
      </c>
      <c r="C159" s="646">
        <f t="shared" ref="C159:J159" si="17">+C137</f>
        <v>1.0900000000000016</v>
      </c>
      <c r="D159" s="646">
        <f t="shared" si="17"/>
        <v>1.3800000000000008</v>
      </c>
      <c r="E159" s="646">
        <f t="shared" si="17"/>
        <v>1.7400000000000002</v>
      </c>
      <c r="F159" s="646">
        <f t="shared" si="17"/>
        <v>3.1499999999999986</v>
      </c>
      <c r="G159" s="646">
        <f t="shared" si="17"/>
        <v>4.1500000000000021</v>
      </c>
      <c r="H159" s="646">
        <f t="shared" si="17"/>
        <v>5.0499999999999989</v>
      </c>
      <c r="I159" s="646">
        <f t="shared" si="17"/>
        <v>8.24</v>
      </c>
      <c r="J159" s="646">
        <f t="shared" si="17"/>
        <v>8</v>
      </c>
      <c r="K159" s="646">
        <f t="shared" si="16"/>
        <v>6.6799999999999979</v>
      </c>
      <c r="L159" s="646"/>
      <c r="M159" s="545"/>
      <c r="N159" s="545"/>
      <c r="AK159" s="22"/>
      <c r="AL159" s="22"/>
      <c r="AM159" s="22"/>
      <c r="AN159" s="22"/>
      <c r="AO159" s="22"/>
      <c r="AP159" s="22"/>
      <c r="AQ159" s="22"/>
    </row>
    <row r="160" spans="1:43" s="647" customFormat="1" x14ac:dyDescent="0.25">
      <c r="A160" s="644" t="s">
        <v>472</v>
      </c>
      <c r="B160" s="646">
        <f t="shared" ref="B160:K161" si="18">+B138</f>
        <v>6.999999999999984E-2</v>
      </c>
      <c r="C160" s="646">
        <f t="shared" ref="C160:J161" si="19">+C138</f>
        <v>3.0000000000000027E-2</v>
      </c>
      <c r="D160" s="646">
        <f t="shared" si="19"/>
        <v>9.000000000000008E-2</v>
      </c>
      <c r="E160" s="646">
        <f t="shared" si="19"/>
        <v>0.1100000000000001</v>
      </c>
      <c r="F160" s="646">
        <f t="shared" si="19"/>
        <v>0.26</v>
      </c>
      <c r="G160" s="646">
        <f t="shared" si="19"/>
        <v>0.32999999999999985</v>
      </c>
      <c r="H160" s="646">
        <f t="shared" si="19"/>
        <v>0.39000000000000012</v>
      </c>
      <c r="I160" s="646">
        <f t="shared" si="19"/>
        <v>0.63</v>
      </c>
      <c r="J160" s="646">
        <f t="shared" si="19"/>
        <v>0.52999999999999992</v>
      </c>
      <c r="K160" s="646">
        <f t="shared" si="18"/>
        <v>0.39999999999999991</v>
      </c>
      <c r="L160" s="646"/>
      <c r="M160" s="545"/>
      <c r="N160" s="545"/>
      <c r="AK160" s="22"/>
      <c r="AL160" s="22"/>
      <c r="AM160" s="22"/>
      <c r="AN160" s="22"/>
      <c r="AO160" s="22"/>
      <c r="AP160" s="22"/>
      <c r="AQ160" s="22"/>
    </row>
    <row r="161" spans="1:43" s="647" customFormat="1" x14ac:dyDescent="0.25">
      <c r="A161" s="815" t="s">
        <v>585</v>
      </c>
      <c r="B161" s="646">
        <f t="shared" si="18"/>
        <v>0.01</v>
      </c>
      <c r="C161" s="646">
        <f t="shared" si="19"/>
        <v>0</v>
      </c>
      <c r="D161" s="646">
        <f t="shared" si="19"/>
        <v>1.0000000000000009E-2</v>
      </c>
      <c r="E161" s="646">
        <f t="shared" si="19"/>
        <v>3.0000000000000027E-2</v>
      </c>
      <c r="F161" s="646">
        <f t="shared" si="19"/>
        <v>4.9999999999999989E-2</v>
      </c>
      <c r="G161" s="646">
        <f t="shared" si="19"/>
        <v>8.0000000000000016E-2</v>
      </c>
      <c r="H161" s="646">
        <f t="shared" si="19"/>
        <v>8.0000000000000016E-2</v>
      </c>
      <c r="I161" s="646">
        <f t="shared" si="19"/>
        <v>0.10999999999999999</v>
      </c>
      <c r="J161" s="646">
        <f t="shared" si="19"/>
        <v>0.14000000000000001</v>
      </c>
      <c r="K161" s="646">
        <f t="shared" si="18"/>
        <v>0.13</v>
      </c>
      <c r="L161" s="646"/>
      <c r="M161" s="545"/>
      <c r="N161" s="545"/>
      <c r="AK161" s="22"/>
      <c r="AL161" s="22"/>
      <c r="AM161" s="22"/>
      <c r="AN161" s="22"/>
      <c r="AO161" s="22"/>
      <c r="AP161" s="22"/>
      <c r="AQ161" s="22"/>
    </row>
    <row r="162" spans="1:43" s="645" customFormat="1" x14ac:dyDescent="0.25">
      <c r="A162" s="644" t="s">
        <v>431</v>
      </c>
      <c r="B162" s="646">
        <f t="shared" ref="B162:K162" si="20">+B140</f>
        <v>0</v>
      </c>
      <c r="C162" s="646">
        <f t="shared" ref="C162:J162" si="21">+C140</f>
        <v>-9.999999999999995E-3</v>
      </c>
      <c r="D162" s="646">
        <f t="shared" si="21"/>
        <v>0</v>
      </c>
      <c r="E162" s="646">
        <f t="shared" si="21"/>
        <v>0</v>
      </c>
      <c r="F162" s="646">
        <f t="shared" si="21"/>
        <v>0</v>
      </c>
      <c r="G162" s="646">
        <f t="shared" si="21"/>
        <v>0</v>
      </c>
      <c r="H162" s="646">
        <f t="shared" si="21"/>
        <v>0</v>
      </c>
      <c r="I162" s="646">
        <f t="shared" si="21"/>
        <v>0</v>
      </c>
      <c r="J162" s="646">
        <f t="shared" si="21"/>
        <v>0</v>
      </c>
      <c r="K162" s="646">
        <f t="shared" si="20"/>
        <v>0</v>
      </c>
      <c r="L162" s="646"/>
      <c r="M162" s="545"/>
      <c r="N162" s="545"/>
      <c r="P162" s="647"/>
      <c r="Q162" s="647"/>
      <c r="R162" s="647"/>
      <c r="S162" s="647"/>
      <c r="T162" s="647"/>
      <c r="U162" s="647"/>
      <c r="AK162" s="22"/>
      <c r="AL162" s="22"/>
      <c r="AM162" s="22"/>
      <c r="AN162" s="22"/>
      <c r="AO162" s="22"/>
      <c r="AP162" s="22"/>
      <c r="AQ162" s="22"/>
    </row>
    <row r="163" spans="1:43" s="647" customFormat="1" x14ac:dyDescent="0.25">
      <c r="A163" s="644" t="s">
        <v>448</v>
      </c>
      <c r="B163" s="646">
        <f t="shared" ref="B163:J163" si="22">+B141</f>
        <v>0</v>
      </c>
      <c r="C163" s="646">
        <f t="shared" si="22"/>
        <v>-1.0000000000000009E-2</v>
      </c>
      <c r="D163" s="646">
        <f t="shared" si="22"/>
        <v>1.9999999999999962E-2</v>
      </c>
      <c r="E163" s="646">
        <f t="shared" si="22"/>
        <v>4.0000000000000036E-2</v>
      </c>
      <c r="F163" s="646">
        <f t="shared" si="22"/>
        <v>0.10999999999999999</v>
      </c>
      <c r="G163" s="646">
        <f t="shared" si="22"/>
        <v>0.10999999999999999</v>
      </c>
      <c r="H163" s="646">
        <f t="shared" si="22"/>
        <v>7.9999999999999988E-2</v>
      </c>
      <c r="I163" s="646">
        <f t="shared" si="22"/>
        <v>7.0000000000000007E-2</v>
      </c>
      <c r="J163" s="646">
        <f t="shared" si="22"/>
        <v>0.05</v>
      </c>
      <c r="K163" s="646">
        <f t="shared" ref="K163" si="23">+K141</f>
        <v>0.05</v>
      </c>
      <c r="L163" s="646"/>
      <c r="M163" s="545"/>
      <c r="N163" s="545"/>
      <c r="AK163" s="22"/>
      <c r="AL163" s="22"/>
      <c r="AM163" s="22"/>
      <c r="AN163" s="22"/>
      <c r="AO163" s="22"/>
      <c r="AP163" s="22"/>
      <c r="AQ163" s="22"/>
    </row>
    <row r="164" spans="1:43" s="647" customFormat="1" x14ac:dyDescent="0.25">
      <c r="A164" s="644" t="s">
        <v>444</v>
      </c>
      <c r="B164" s="646">
        <f t="shared" ref="B164:J164" si="24">+B142</f>
        <v>-0.12000000000000011</v>
      </c>
      <c r="C164" s="646">
        <f t="shared" si="24"/>
        <v>-0.11000000000000004</v>
      </c>
      <c r="D164" s="646">
        <f t="shared" si="24"/>
        <v>-4.9999999999999822E-2</v>
      </c>
      <c r="E164" s="646">
        <f t="shared" si="24"/>
        <v>3.0000000000000027E-2</v>
      </c>
      <c r="F164" s="646">
        <f t="shared" si="24"/>
        <v>0.32999999999999974</v>
      </c>
      <c r="G164" s="646">
        <f t="shared" si="24"/>
        <v>0.56000000000000005</v>
      </c>
      <c r="H164" s="646">
        <f t="shared" si="24"/>
        <v>0.71</v>
      </c>
      <c r="I164" s="646">
        <f t="shared" si="24"/>
        <v>1.1799999999999997</v>
      </c>
      <c r="J164" s="646">
        <f t="shared" si="24"/>
        <v>1.3299999999999998</v>
      </c>
      <c r="K164" s="646">
        <f t="shared" ref="K164" si="25">+K142</f>
        <v>1.27</v>
      </c>
      <c r="L164" s="646"/>
      <c r="M164" s="545"/>
      <c r="N164" s="545"/>
      <c r="AK164" s="22"/>
      <c r="AL164" s="22"/>
      <c r="AM164" s="22"/>
      <c r="AN164" s="22"/>
      <c r="AO164" s="22"/>
      <c r="AP164" s="22"/>
      <c r="AQ164" s="22"/>
    </row>
    <row r="165" spans="1:43" s="647" customFormat="1" x14ac:dyDescent="0.25">
      <c r="A165" s="644" t="s">
        <v>462</v>
      </c>
      <c r="B165" s="646">
        <f>+B144</f>
        <v>-1.9499999999999997</v>
      </c>
      <c r="C165" s="646">
        <f t="shared" ref="C165:J165" si="26">+C144</f>
        <v>-1.9000000000000004</v>
      </c>
      <c r="D165" s="646">
        <f t="shared" si="26"/>
        <v>-1.7699999999999996</v>
      </c>
      <c r="E165" s="646">
        <f t="shared" si="26"/>
        <v>-1.6799999999999997</v>
      </c>
      <c r="F165" s="646">
        <f t="shared" si="26"/>
        <v>-1.3199999999999998</v>
      </c>
      <c r="G165" s="646">
        <f t="shared" si="26"/>
        <v>-1.04</v>
      </c>
      <c r="H165" s="646">
        <f t="shared" si="26"/>
        <v>-1.0099999999999998</v>
      </c>
      <c r="I165" s="646">
        <f t="shared" si="26"/>
        <v>-0.12999999999999989</v>
      </c>
      <c r="J165" s="646">
        <f t="shared" si="26"/>
        <v>0.29999999999999982</v>
      </c>
      <c r="K165" s="646">
        <f t="shared" ref="K165" si="27">+K144</f>
        <v>0.26000000000000068</v>
      </c>
      <c r="L165" s="646"/>
      <c r="M165" s="545"/>
      <c r="N165" s="545"/>
      <c r="AK165" s="22"/>
      <c r="AL165" s="22"/>
      <c r="AM165" s="22"/>
      <c r="AN165" s="22"/>
      <c r="AO165" s="22"/>
      <c r="AP165" s="22"/>
      <c r="AQ165" s="22"/>
    </row>
    <row r="166" spans="1:43" x14ac:dyDescent="0.25">
      <c r="A166" s="644" t="s">
        <v>546</v>
      </c>
      <c r="B166" s="646">
        <f>+B145</f>
        <v>-8.9722220000000004</v>
      </c>
      <c r="C166" s="646">
        <f t="shared" ref="C166:K166" si="28">+C145</f>
        <v>-8.875</v>
      </c>
      <c r="D166" s="646">
        <f t="shared" si="28"/>
        <v>-8.7777779999999996</v>
      </c>
      <c r="E166" s="646">
        <f t="shared" si="28"/>
        <v>-8.6805559999999993</v>
      </c>
      <c r="F166" s="646">
        <f t="shared" si="28"/>
        <v>-8.5833329999999997</v>
      </c>
      <c r="G166" s="646">
        <f t="shared" si="28"/>
        <v>-8.4861109999999993</v>
      </c>
      <c r="H166" s="646">
        <f t="shared" si="28"/>
        <v>-8.3888890000000007</v>
      </c>
      <c r="I166" s="646">
        <f t="shared" si="28"/>
        <v>-8.9166699999999999</v>
      </c>
      <c r="J166" s="646">
        <f t="shared" si="28"/>
        <v>-8.1944440000000007</v>
      </c>
      <c r="K166" s="646">
        <f t="shared" si="28"/>
        <v>-8.0972220000000004</v>
      </c>
      <c r="L166" s="646"/>
      <c r="M166" s="545"/>
      <c r="N166" s="545"/>
    </row>
    <row r="167" spans="1:43" s="647" customFormat="1" x14ac:dyDescent="0.25">
      <c r="A167" s="644" t="s">
        <v>584</v>
      </c>
      <c r="B167" s="646">
        <f>+B146</f>
        <v>-22.16</v>
      </c>
      <c r="C167" s="646">
        <f t="shared" ref="C167:K167" si="29">+C146</f>
        <v>-22.16</v>
      </c>
      <c r="D167" s="646">
        <f t="shared" si="29"/>
        <v>-22.16</v>
      </c>
      <c r="E167" s="646">
        <f t="shared" si="29"/>
        <v>-22.16</v>
      </c>
      <c r="F167" s="646">
        <f t="shared" si="29"/>
        <v>-22.16</v>
      </c>
      <c r="G167" s="646">
        <f t="shared" si="29"/>
        <v>-22.16</v>
      </c>
      <c r="H167" s="646">
        <f t="shared" si="29"/>
        <v>-22.16</v>
      </c>
      <c r="I167" s="646">
        <f t="shared" si="29"/>
        <v>-22.16</v>
      </c>
      <c r="J167" s="646">
        <f t="shared" si="29"/>
        <v>-22.16</v>
      </c>
      <c r="K167" s="646">
        <f t="shared" si="29"/>
        <v>-22.16</v>
      </c>
      <c r="L167" s="646"/>
      <c r="M167" s="545"/>
      <c r="N167" s="545"/>
      <c r="AK167" s="22"/>
      <c r="AL167" s="22"/>
      <c r="AM167" s="22"/>
      <c r="AN167" s="22"/>
      <c r="AO167" s="22"/>
      <c r="AP167" s="22"/>
      <c r="AQ167" s="22"/>
    </row>
    <row r="168" spans="1:43" s="661" customFormat="1" x14ac:dyDescent="0.25">
      <c r="A168" s="639" t="s">
        <v>106</v>
      </c>
      <c r="B168" s="662">
        <f t="shared" ref="B168:K168" si="30">SUM(B154:B167)</f>
        <v>-33.964970000000001</v>
      </c>
      <c r="C168" s="662">
        <f t="shared" si="30"/>
        <v>-33.842219</v>
      </c>
      <c r="D168" s="662">
        <f t="shared" si="30"/>
        <v>-32.256119999999996</v>
      </c>
      <c r="E168" s="662">
        <f t="shared" si="30"/>
        <v>-31.203916999999997</v>
      </c>
      <c r="F168" s="662">
        <f t="shared" si="30"/>
        <v>-26.008755000000001</v>
      </c>
      <c r="G168" s="662">
        <f t="shared" si="30"/>
        <v>-22.973258999999999</v>
      </c>
      <c r="H168" s="662">
        <f t="shared" si="30"/>
        <v>-19.812853000000004</v>
      </c>
      <c r="I168" s="662">
        <f t="shared" si="30"/>
        <v>-10.393250000000005</v>
      </c>
      <c r="J168" s="662">
        <f t="shared" si="30"/>
        <v>-9.4595650000000013</v>
      </c>
      <c r="K168" s="662">
        <f t="shared" si="30"/>
        <v>-12.275181000000002</v>
      </c>
      <c r="L168" s="662"/>
      <c r="M168" s="637"/>
      <c r="N168" s="637"/>
      <c r="AK168" s="670"/>
      <c r="AL168" s="670"/>
      <c r="AM168" s="670"/>
      <c r="AN168" s="670"/>
      <c r="AO168" s="670"/>
      <c r="AP168" s="670"/>
      <c r="AQ168" s="670"/>
    </row>
    <row r="169" spans="1:43" x14ac:dyDescent="0.25">
      <c r="A169" s="545" t="s">
        <v>453</v>
      </c>
      <c r="B169" s="545">
        <f t="shared" ref="B169:K169" si="31">+B149-B168</f>
        <v>0</v>
      </c>
      <c r="C169" s="545">
        <f t="shared" si="31"/>
        <v>0</v>
      </c>
      <c r="D169" s="545">
        <f t="shared" si="31"/>
        <v>0</v>
      </c>
      <c r="E169" s="545">
        <f t="shared" si="31"/>
        <v>0</v>
      </c>
      <c r="F169" s="545">
        <f t="shared" si="31"/>
        <v>0</v>
      </c>
      <c r="G169" s="545">
        <f t="shared" si="31"/>
        <v>0</v>
      </c>
      <c r="H169" s="545">
        <f t="shared" si="31"/>
        <v>0</v>
      </c>
      <c r="I169" s="545">
        <f t="shared" si="31"/>
        <v>0</v>
      </c>
      <c r="J169" s="545">
        <f t="shared" si="31"/>
        <v>0</v>
      </c>
      <c r="K169" s="817">
        <f t="shared" si="31"/>
        <v>0</v>
      </c>
      <c r="L169" s="545"/>
      <c r="M169" s="545"/>
      <c r="N169" s="545"/>
    </row>
    <row r="170" spans="1:43" x14ac:dyDescent="0.25">
      <c r="A170" s="545"/>
      <c r="B170" s="545"/>
      <c r="C170" s="545"/>
      <c r="D170" s="545"/>
      <c r="E170" s="545"/>
      <c r="F170" s="545"/>
      <c r="G170" s="545"/>
      <c r="H170" s="545"/>
      <c r="I170" s="545"/>
      <c r="J170" s="545"/>
      <c r="K170" s="817"/>
      <c r="L170" s="545"/>
      <c r="M170" s="545"/>
      <c r="N170" s="545"/>
    </row>
    <row r="171" spans="1:43" x14ac:dyDescent="0.25">
      <c r="B171" s="545"/>
      <c r="C171" s="545"/>
      <c r="D171" s="545"/>
      <c r="E171" s="545"/>
      <c r="F171" s="545"/>
      <c r="G171" s="545"/>
      <c r="H171" s="545"/>
      <c r="I171" s="545"/>
      <c r="J171" s="545"/>
      <c r="K171" s="818">
        <f>+J74-K168</f>
        <v>0</v>
      </c>
      <c r="L171" s="545"/>
      <c r="M171" s="545"/>
      <c r="N171" s="545"/>
    </row>
    <row r="172" spans="1:43" x14ac:dyDescent="0.25">
      <c r="A172" s="637" t="s">
        <v>433</v>
      </c>
      <c r="B172" s="755">
        <f>+K153</f>
        <v>44521</v>
      </c>
      <c r="C172" s="643"/>
      <c r="D172" s="545"/>
      <c r="E172" s="545"/>
      <c r="F172" s="545"/>
      <c r="G172" s="545"/>
      <c r="H172" s="545"/>
      <c r="I172" s="545"/>
      <c r="J172" s="545"/>
      <c r="K172" s="817" t="s">
        <v>586</v>
      </c>
      <c r="L172" s="545"/>
      <c r="M172" s="545"/>
      <c r="N172" s="545"/>
    </row>
    <row r="173" spans="1:43" x14ac:dyDescent="0.25">
      <c r="A173" s="545" t="s">
        <v>429</v>
      </c>
      <c r="B173" s="646">
        <f>H52</f>
        <v>3.5225</v>
      </c>
      <c r="C173" s="816">
        <f t="shared" ref="C173:C186" si="32">+B173/$B$187</f>
        <v>3.3139602993106851E-2</v>
      </c>
      <c r="D173" s="545"/>
      <c r="F173" s="545"/>
      <c r="G173" s="545"/>
      <c r="H173" s="545"/>
      <c r="I173" s="545"/>
      <c r="J173" s="545"/>
      <c r="K173" s="817"/>
      <c r="L173" s="545"/>
      <c r="M173" s="545"/>
      <c r="N173" s="545"/>
    </row>
    <row r="174" spans="1:43" x14ac:dyDescent="0.25">
      <c r="A174" s="545" t="s">
        <v>430</v>
      </c>
      <c r="B174" s="646">
        <f>H53</f>
        <v>15.725</v>
      </c>
      <c r="C174" s="816">
        <f t="shared" si="32"/>
        <v>0.14794045622898658</v>
      </c>
      <c r="D174" s="647"/>
      <c r="F174" s="647"/>
      <c r="G174" s="647"/>
      <c r="H174" s="647"/>
      <c r="I174" s="647"/>
      <c r="J174" s="647"/>
      <c r="K174" s="817"/>
      <c r="M174" s="647"/>
      <c r="N174" s="647"/>
    </row>
    <row r="175" spans="1:43" x14ac:dyDescent="0.25">
      <c r="A175" s="545" t="s">
        <v>1</v>
      </c>
      <c r="B175" s="646">
        <f>+H51+H61+H65</f>
        <v>20.9175</v>
      </c>
      <c r="C175" s="816">
        <f t="shared" si="32"/>
        <v>0.19679138271350252</v>
      </c>
      <c r="D175" s="647"/>
      <c r="F175" s="647"/>
      <c r="G175" s="647"/>
      <c r="H175" s="647"/>
      <c r="I175" s="647"/>
      <c r="J175" s="647"/>
      <c r="K175" s="647"/>
      <c r="M175" s="647"/>
      <c r="N175" s="647"/>
    </row>
    <row r="176" spans="1:43" s="647" customFormat="1" x14ac:dyDescent="0.25">
      <c r="A176" s="644" t="s">
        <v>599</v>
      </c>
      <c r="B176" s="646">
        <f>+H55</f>
        <v>17.68</v>
      </c>
      <c r="C176" s="816">
        <f t="shared" si="32"/>
        <v>0.16633305348988761</v>
      </c>
      <c r="AK176" s="22"/>
      <c r="AL176" s="22"/>
      <c r="AM176" s="22"/>
      <c r="AN176" s="22"/>
      <c r="AO176" s="22"/>
      <c r="AP176" s="22"/>
      <c r="AQ176" s="22"/>
    </row>
    <row r="177" spans="1:43" x14ac:dyDescent="0.25">
      <c r="A177" s="779" t="s">
        <v>464</v>
      </c>
      <c r="B177" s="646">
        <f>+H60</f>
        <v>3.08</v>
      </c>
      <c r="C177" s="816">
        <f t="shared" si="32"/>
        <v>2.8976572666790379E-2</v>
      </c>
      <c r="D177" s="647"/>
      <c r="F177" s="647"/>
      <c r="G177" s="647"/>
      <c r="H177" s="647"/>
      <c r="I177" s="647"/>
      <c r="J177" s="647"/>
      <c r="K177" s="647"/>
      <c r="M177" s="647"/>
      <c r="N177" s="647"/>
    </row>
    <row r="178" spans="1:43" s="647" customFormat="1" x14ac:dyDescent="0.25">
      <c r="A178" s="644" t="s">
        <v>450</v>
      </c>
      <c r="B178" s="646">
        <f>+H58</f>
        <v>14.38</v>
      </c>
      <c r="C178" s="816">
        <f t="shared" si="32"/>
        <v>0.13528672563261224</v>
      </c>
      <c r="AK178" s="22"/>
      <c r="AL178" s="22"/>
      <c r="AM178" s="22"/>
      <c r="AN178" s="22"/>
      <c r="AO178" s="22"/>
      <c r="AP178" s="22"/>
      <c r="AQ178" s="22"/>
    </row>
    <row r="179" spans="1:43" x14ac:dyDescent="0.25">
      <c r="A179" s="644" t="s">
        <v>472</v>
      </c>
      <c r="B179" s="646">
        <f>+H59</f>
        <v>0.8</v>
      </c>
      <c r="C179" s="816">
        <f t="shared" si="32"/>
        <v>7.526382510854644E-3</v>
      </c>
      <c r="D179" s="647"/>
      <c r="F179" s="647"/>
      <c r="G179" s="647"/>
      <c r="H179" s="647"/>
      <c r="I179" s="647"/>
      <c r="J179" s="647"/>
      <c r="K179" s="647"/>
      <c r="M179" s="647"/>
      <c r="N179" s="647"/>
    </row>
    <row r="180" spans="1:43" s="647" customFormat="1" x14ac:dyDescent="0.25">
      <c r="A180" s="815" t="s">
        <v>585</v>
      </c>
      <c r="B180" s="646">
        <f>+H63</f>
        <v>0.25</v>
      </c>
      <c r="C180" s="816">
        <f t="shared" si="32"/>
        <v>2.3519945346420763E-3</v>
      </c>
      <c r="AK180" s="22"/>
      <c r="AL180" s="22"/>
      <c r="AM180" s="22"/>
      <c r="AN180" s="22"/>
      <c r="AO180" s="22"/>
      <c r="AP180" s="22"/>
      <c r="AQ180" s="22"/>
    </row>
    <row r="181" spans="1:43" s="647" customFormat="1" x14ac:dyDescent="0.25">
      <c r="A181" s="644" t="s">
        <v>431</v>
      </c>
      <c r="B181" s="646">
        <f>+H64</f>
        <v>0</v>
      </c>
      <c r="C181" s="816">
        <f t="shared" si="32"/>
        <v>0</v>
      </c>
      <c r="AK181" s="22"/>
      <c r="AL181" s="22"/>
      <c r="AM181" s="22"/>
      <c r="AN181" s="22"/>
      <c r="AO181" s="22"/>
      <c r="AP181" s="22"/>
      <c r="AQ181" s="22"/>
    </row>
    <row r="182" spans="1:43" s="645" customFormat="1" x14ac:dyDescent="0.25">
      <c r="A182" s="644" t="s">
        <v>448</v>
      </c>
      <c r="B182" s="646">
        <f>+H66</f>
        <v>0.06</v>
      </c>
      <c r="C182" s="816">
        <f t="shared" si="32"/>
        <v>5.6447868831409819E-4</v>
      </c>
      <c r="D182" s="647"/>
      <c r="F182" s="647"/>
      <c r="G182" s="647"/>
      <c r="H182" s="647"/>
      <c r="I182" s="647"/>
      <c r="J182" s="647"/>
      <c r="K182" s="647"/>
      <c r="L182" s="647"/>
      <c r="M182" s="647"/>
      <c r="N182" s="647"/>
      <c r="P182" s="647"/>
      <c r="Q182" s="647"/>
      <c r="R182" s="647"/>
      <c r="S182" s="647"/>
      <c r="T182" s="647"/>
      <c r="U182" s="647"/>
      <c r="AK182" s="22"/>
      <c r="AL182" s="22"/>
      <c r="AM182" s="22"/>
      <c r="AN182" s="22"/>
      <c r="AO182" s="22"/>
      <c r="AP182" s="22"/>
      <c r="AQ182" s="22"/>
    </row>
    <row r="183" spans="1:43" s="647" customFormat="1" x14ac:dyDescent="0.25">
      <c r="A183" s="644" t="s">
        <v>444</v>
      </c>
      <c r="B183" s="646">
        <f>+H67+H62</f>
        <v>2.81</v>
      </c>
      <c r="C183" s="816">
        <f t="shared" si="32"/>
        <v>2.6436418569376938E-2</v>
      </c>
      <c r="AK183" s="22"/>
      <c r="AL183" s="22"/>
      <c r="AM183" s="22"/>
      <c r="AN183" s="22"/>
      <c r="AO183" s="22"/>
      <c r="AP183" s="22"/>
      <c r="AQ183" s="22"/>
    </row>
    <row r="184" spans="1:43" s="647" customFormat="1" x14ac:dyDescent="0.25">
      <c r="A184" s="644" t="s">
        <v>462</v>
      </c>
      <c r="B184" s="646">
        <f>+H68</f>
        <v>4.68</v>
      </c>
      <c r="C184" s="816">
        <f t="shared" si="32"/>
        <v>4.4029337688499662E-2</v>
      </c>
      <c r="AK184" s="22"/>
      <c r="AL184" s="22"/>
      <c r="AM184" s="22"/>
      <c r="AN184" s="22"/>
      <c r="AO184" s="22"/>
      <c r="AP184" s="22"/>
      <c r="AQ184" s="22"/>
    </row>
    <row r="185" spans="1:43" s="647" customFormat="1" x14ac:dyDescent="0.25">
      <c r="A185" s="644" t="s">
        <v>546</v>
      </c>
      <c r="B185" s="646">
        <f>+H71</f>
        <v>5.4777639999999996</v>
      </c>
      <c r="C185" s="816">
        <f t="shared" si="32"/>
        <v>5.1534683960236465E-2</v>
      </c>
      <c r="AK185" s="22"/>
      <c r="AL185" s="22"/>
      <c r="AM185" s="22"/>
      <c r="AN185" s="22"/>
      <c r="AO185" s="22"/>
      <c r="AP185" s="22"/>
      <c r="AQ185" s="22"/>
    </row>
    <row r="186" spans="1:43" s="647" customFormat="1" x14ac:dyDescent="0.25">
      <c r="A186" s="644" t="s">
        <v>584</v>
      </c>
      <c r="B186" s="646">
        <f>+H72</f>
        <v>16.91</v>
      </c>
      <c r="C186" s="816">
        <f t="shared" si="32"/>
        <v>0.15908891032319003</v>
      </c>
      <c r="AK186" s="22"/>
      <c r="AL186" s="22"/>
      <c r="AM186" s="22"/>
      <c r="AN186" s="22"/>
      <c r="AO186" s="22"/>
      <c r="AP186" s="22"/>
      <c r="AQ186" s="22"/>
    </row>
    <row r="187" spans="1:43" x14ac:dyDescent="0.25">
      <c r="B187" s="663">
        <f>SUM(B173:B186)</f>
        <v>106.29276399999999</v>
      </c>
      <c r="C187" s="664">
        <f>SUM(C173:C186)</f>
        <v>1.0000000000000002</v>
      </c>
      <c r="D187" s="647"/>
      <c r="F187" s="647"/>
      <c r="G187" s="647"/>
      <c r="H187" s="647"/>
      <c r="I187" s="647"/>
      <c r="J187" s="647"/>
      <c r="K187" s="647"/>
      <c r="M187" s="647"/>
      <c r="N187" s="647"/>
    </row>
    <row r="188" spans="1:43" x14ac:dyDescent="0.25">
      <c r="C188" s="647"/>
      <c r="D188" s="647"/>
      <c r="E188" s="647"/>
      <c r="F188" s="647"/>
      <c r="G188" s="647"/>
      <c r="H188" s="647"/>
      <c r="I188" s="647"/>
      <c r="J188" s="647"/>
      <c r="K188" s="647"/>
      <c r="M188" s="647"/>
      <c r="N188" s="647"/>
    </row>
    <row r="189" spans="1:43" x14ac:dyDescent="0.25">
      <c r="C189" s="647"/>
      <c r="D189" s="647"/>
      <c r="E189" s="647"/>
      <c r="F189" s="647"/>
      <c r="G189" s="647"/>
      <c r="H189" s="647"/>
      <c r="I189" s="647"/>
      <c r="J189" s="647"/>
      <c r="K189" s="647"/>
      <c r="M189" s="647"/>
      <c r="N189" s="647"/>
    </row>
    <row r="190" spans="1:43" x14ac:dyDescent="0.25">
      <c r="B190" s="814">
        <f>+H74-B187</f>
        <v>0</v>
      </c>
      <c r="C190" s="647"/>
      <c r="D190" s="647"/>
      <c r="E190" s="647"/>
      <c r="F190" s="647"/>
      <c r="G190" s="647"/>
      <c r="H190" s="647"/>
      <c r="I190" s="647"/>
      <c r="J190" s="647"/>
      <c r="K190" s="647"/>
      <c r="M190" s="647"/>
      <c r="N190" s="647"/>
    </row>
    <row r="191" spans="1:43" x14ac:dyDescent="0.25">
      <c r="C191" s="647"/>
      <c r="D191" s="647"/>
      <c r="E191" s="647"/>
      <c r="F191" s="647"/>
      <c r="G191" s="647"/>
      <c r="H191" s="647"/>
      <c r="I191" s="647"/>
      <c r="J191" s="647"/>
      <c r="K191" s="647"/>
      <c r="M191" s="647"/>
      <c r="N191" s="647"/>
    </row>
    <row r="192" spans="1:43" x14ac:dyDescent="0.25">
      <c r="C192" s="647"/>
      <c r="D192" s="647"/>
      <c r="E192" s="647"/>
      <c r="F192" s="647"/>
      <c r="G192" s="647"/>
      <c r="H192" s="647"/>
      <c r="I192" s="647"/>
      <c r="J192" s="647"/>
      <c r="K192" s="647"/>
      <c r="M192" s="647"/>
      <c r="N192" s="647"/>
    </row>
    <row r="193" spans="3:14" x14ac:dyDescent="0.25">
      <c r="C193" s="647"/>
      <c r="D193" s="647"/>
      <c r="E193" s="647"/>
      <c r="F193" s="647"/>
      <c r="G193" s="647"/>
      <c r="H193" s="647"/>
      <c r="I193" s="647"/>
      <c r="J193" s="647"/>
      <c r="K193" s="647"/>
      <c r="M193" s="647"/>
      <c r="N193" s="647"/>
    </row>
    <row r="194" spans="3:14" x14ac:dyDescent="0.25">
      <c r="C194" s="647"/>
      <c r="D194" s="647"/>
      <c r="E194" s="647"/>
      <c r="F194" s="647"/>
      <c r="G194" s="647"/>
      <c r="H194" s="647"/>
      <c r="I194" s="647"/>
      <c r="J194" s="647"/>
      <c r="K194" s="647"/>
      <c r="M194" s="647"/>
      <c r="N194" s="647"/>
    </row>
  </sheetData>
  <mergeCells count="21">
    <mergeCell ref="A1:C1"/>
    <mergeCell ref="I2:M2"/>
    <mergeCell ref="A76:D77"/>
    <mergeCell ref="D2:F2"/>
    <mergeCell ref="A2:C2"/>
    <mergeCell ref="A70:B70"/>
    <mergeCell ref="G48:L48"/>
    <mergeCell ref="A11:C11"/>
    <mergeCell ref="A12:C23"/>
    <mergeCell ref="A25:H25"/>
    <mergeCell ref="I11:M11"/>
    <mergeCell ref="I12:M23"/>
    <mergeCell ref="D12:H23"/>
    <mergeCell ref="D11:H11"/>
    <mergeCell ref="A116:E116"/>
    <mergeCell ref="A87:M87"/>
    <mergeCell ref="A85:M85"/>
    <mergeCell ref="A83:M83"/>
    <mergeCell ref="A89:M90"/>
    <mergeCell ref="A92:M93"/>
    <mergeCell ref="A95:M96"/>
  </mergeCells>
  <dataValidations disablePrompts="1" count="1">
    <dataValidation type="list" allowBlank="1" showInputMessage="1" showErrorMessage="1" sqref="A126" xr:uid="{00000000-0002-0000-0000-000000000000}">
      <formula1>#REF!</formula1>
    </dataValidation>
  </dataValidations>
  <printOptions horizontalCentered="1"/>
  <pageMargins left="0.55000000000000004" right="0.5" top="0.75" bottom="0.5" header="0.3" footer="0.3"/>
  <pageSetup scale="67" fitToHeight="3" orientation="landscape" r:id="rId1"/>
  <headerFooter>
    <oddHeader>&amp;L&amp;14University of Illinois System&amp;C&amp;"Arial,Bold"&amp;18Derivatives Dashboard&amp;R&amp;14 11/30/2021</oddHeader>
    <oddFooter>Page &amp;P of &amp;N</oddFooter>
  </headerFooter>
  <rowBreaks count="2" manualBreakCount="2">
    <brk id="47" max="12" man="1"/>
    <brk id="78" max="12"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6"/>
  <dimension ref="A1:EA129"/>
  <sheetViews>
    <sheetView topLeftCell="D1" zoomScale="70" zoomScaleNormal="70" workbookViewId="0">
      <selection activeCell="L5" sqref="L5"/>
    </sheetView>
  </sheetViews>
  <sheetFormatPr defaultColWidth="8.77734375" defaultRowHeight="13.2" x14ac:dyDescent="0.25"/>
  <cols>
    <col min="1" max="15" width="26.44140625" customWidth="1"/>
  </cols>
  <sheetData>
    <row r="1" spans="1:131" ht="18" thickBot="1" x14ac:dyDescent="0.3">
      <c r="A1" s="900" t="s">
        <v>310</v>
      </c>
      <c r="B1" s="900"/>
      <c r="C1" s="900"/>
      <c r="D1" s="900"/>
      <c r="E1" s="900"/>
      <c r="F1" s="900"/>
      <c r="G1" s="900"/>
      <c r="H1" s="900"/>
      <c r="I1" s="900"/>
      <c r="J1" s="900"/>
      <c r="K1" s="900"/>
      <c r="L1" s="900"/>
      <c r="M1" s="900"/>
      <c r="N1" s="900"/>
      <c r="O1" s="900"/>
    </row>
    <row r="2" spans="1:131" ht="17.399999999999999" x14ac:dyDescent="0.25">
      <c r="A2" s="554" t="s">
        <v>188</v>
      </c>
      <c r="B2" s="175"/>
      <c r="C2" s="554"/>
      <c r="D2" s="554"/>
      <c r="E2" s="554"/>
      <c r="F2" s="554"/>
      <c r="G2" s="554"/>
      <c r="H2" s="381"/>
      <c r="I2" s="554"/>
      <c r="J2" s="399"/>
      <c r="K2" s="399"/>
      <c r="L2" s="399"/>
      <c r="M2" s="399"/>
      <c r="N2" s="399"/>
      <c r="O2" s="399"/>
    </row>
    <row r="3" spans="1:131" ht="15" x14ac:dyDescent="0.25">
      <c r="A3" s="901" t="s">
        <v>204</v>
      </c>
      <c r="B3" s="902"/>
      <c r="C3" s="902"/>
      <c r="D3" s="902"/>
      <c r="E3" s="902"/>
      <c r="F3" s="902"/>
      <c r="G3" s="902"/>
      <c r="H3" s="902"/>
      <c r="I3" s="902"/>
      <c r="J3" s="902"/>
      <c r="K3" s="902"/>
      <c r="L3" s="902"/>
      <c r="M3" s="902"/>
      <c r="N3" s="902"/>
      <c r="O3" s="903"/>
    </row>
    <row r="4" spans="1:131" ht="60" x14ac:dyDescent="0.25">
      <c r="A4" s="176" t="s">
        <v>89</v>
      </c>
      <c r="B4" s="176" t="s">
        <v>90</v>
      </c>
      <c r="C4" s="177" t="s">
        <v>0</v>
      </c>
      <c r="D4" s="177" t="s">
        <v>124</v>
      </c>
      <c r="E4" s="176" t="s">
        <v>143</v>
      </c>
      <c r="F4" s="176" t="s">
        <v>144</v>
      </c>
      <c r="G4" s="176" t="s">
        <v>13</v>
      </c>
      <c r="H4" s="382" t="s">
        <v>88</v>
      </c>
      <c r="I4" s="176" t="s">
        <v>12</v>
      </c>
      <c r="J4" s="400" t="s">
        <v>158</v>
      </c>
      <c r="K4" s="400" t="s">
        <v>148</v>
      </c>
      <c r="L4" s="400" t="s">
        <v>180</v>
      </c>
      <c r="M4" s="400" t="s">
        <v>104</v>
      </c>
      <c r="N4" s="400" t="s">
        <v>179</v>
      </c>
      <c r="O4" s="400" t="s">
        <v>205</v>
      </c>
    </row>
    <row r="5" spans="1:131" ht="30" x14ac:dyDescent="0.25">
      <c r="A5" s="482" t="s">
        <v>84</v>
      </c>
      <c r="B5" s="482" t="s">
        <v>3</v>
      </c>
      <c r="C5" s="482" t="s">
        <v>307</v>
      </c>
      <c r="D5" s="482" t="s">
        <v>307</v>
      </c>
      <c r="E5" s="327" t="s">
        <v>120</v>
      </c>
      <c r="F5" s="457" t="s">
        <v>45</v>
      </c>
      <c r="G5" s="482" t="s">
        <v>14</v>
      </c>
      <c r="H5" s="483">
        <v>44423</v>
      </c>
      <c r="I5" s="482" t="s">
        <v>23</v>
      </c>
      <c r="J5" s="350">
        <v>143.66999999999999</v>
      </c>
      <c r="K5" s="350">
        <f>'Apr14'!K5</f>
        <v>110.75</v>
      </c>
      <c r="L5" s="496">
        <f t="shared" ref="L5:L8" si="0">N5-M5</f>
        <v>11.668898970000001</v>
      </c>
      <c r="M5" s="350">
        <f t="shared" ref="M5:N8" si="1">-DZ5/1000000</f>
        <v>0.85500994999999991</v>
      </c>
      <c r="N5" s="350">
        <f t="shared" si="1"/>
        <v>12.52390892</v>
      </c>
      <c r="O5" s="88"/>
      <c r="DZ5">
        <v>-855009.95</v>
      </c>
      <c r="EA5">
        <v>-12523908.92</v>
      </c>
    </row>
    <row r="6" spans="1:131" ht="30" x14ac:dyDescent="0.25">
      <c r="A6" s="485" t="s">
        <v>84</v>
      </c>
      <c r="B6" s="485" t="s">
        <v>3</v>
      </c>
      <c r="C6" s="485" t="s">
        <v>307</v>
      </c>
      <c r="D6" s="485" t="s">
        <v>307</v>
      </c>
      <c r="E6" s="329" t="s">
        <v>120</v>
      </c>
      <c r="F6" s="457" t="s">
        <v>45</v>
      </c>
      <c r="G6" s="485" t="s">
        <v>14</v>
      </c>
      <c r="H6" s="93">
        <v>44576</v>
      </c>
      <c r="I6" s="485" t="s">
        <v>24</v>
      </c>
      <c r="J6" s="351">
        <v>27.4</v>
      </c>
      <c r="K6" s="351">
        <f>'Apr14'!K6</f>
        <v>23.6</v>
      </c>
      <c r="L6" s="497">
        <f t="shared" si="0"/>
        <v>3.0020739300000003</v>
      </c>
      <c r="M6" s="351">
        <f t="shared" si="1"/>
        <v>7.3139479999999993E-2</v>
      </c>
      <c r="N6" s="351">
        <f t="shared" si="1"/>
        <v>3.0752134100000004</v>
      </c>
      <c r="O6" s="96"/>
      <c r="DZ6">
        <v>-73139.48</v>
      </c>
      <c r="EA6">
        <v>-3075213.41</v>
      </c>
    </row>
    <row r="7" spans="1:131" ht="30" x14ac:dyDescent="0.25">
      <c r="A7" s="482" t="s">
        <v>84</v>
      </c>
      <c r="B7" s="482" t="s">
        <v>3</v>
      </c>
      <c r="C7" s="482" t="s">
        <v>308</v>
      </c>
      <c r="D7" s="482" t="s">
        <v>308</v>
      </c>
      <c r="E7" s="327" t="s">
        <v>39</v>
      </c>
      <c r="F7" s="457" t="s">
        <v>38</v>
      </c>
      <c r="G7" s="482" t="s">
        <v>14</v>
      </c>
      <c r="H7" s="483">
        <v>44576</v>
      </c>
      <c r="I7" s="482" t="s">
        <v>24</v>
      </c>
      <c r="J7" s="350">
        <v>26.85</v>
      </c>
      <c r="K7" s="350">
        <f>'Apr14'!K7</f>
        <v>23.18</v>
      </c>
      <c r="L7" s="496">
        <f t="shared" si="0"/>
        <v>2.9417500099999998</v>
      </c>
      <c r="M7" s="350">
        <f t="shared" si="1"/>
        <v>7.1822490000000003E-2</v>
      </c>
      <c r="N7" s="350">
        <f t="shared" si="1"/>
        <v>3.0135725</v>
      </c>
      <c r="O7" s="88"/>
      <c r="DZ7">
        <v>-71822.490000000005</v>
      </c>
      <c r="EA7">
        <v>-3013572.5</v>
      </c>
    </row>
    <row r="8" spans="1:131" ht="30" x14ac:dyDescent="0.25">
      <c r="A8" s="485" t="s">
        <v>84</v>
      </c>
      <c r="B8" s="485" t="s">
        <v>3</v>
      </c>
      <c r="C8" s="485" t="s">
        <v>309</v>
      </c>
      <c r="D8" s="485" t="s">
        <v>125</v>
      </c>
      <c r="E8" s="329" t="s">
        <v>40</v>
      </c>
      <c r="F8" s="458" t="s">
        <v>42</v>
      </c>
      <c r="G8" s="485" t="s">
        <v>14</v>
      </c>
      <c r="H8" s="93">
        <v>46296</v>
      </c>
      <c r="I8" s="485" t="s">
        <v>25</v>
      </c>
      <c r="J8" s="351">
        <v>40.880000000000003</v>
      </c>
      <c r="K8" s="351">
        <f>'Apr14'!K8</f>
        <v>35.590000000000003</v>
      </c>
      <c r="L8" s="497">
        <f t="shared" si="0"/>
        <v>4.3903740199999994</v>
      </c>
      <c r="M8" s="351">
        <f t="shared" si="1"/>
        <v>9.8408529999999994E-2</v>
      </c>
      <c r="N8" s="351">
        <f t="shared" si="1"/>
        <v>4.4887825499999998</v>
      </c>
      <c r="O8" s="96"/>
      <c r="DZ8">
        <v>-98408.53</v>
      </c>
      <c r="EA8">
        <v>-4488782.55</v>
      </c>
    </row>
    <row r="9" spans="1:131" ht="15" x14ac:dyDescent="0.25">
      <c r="A9" s="111"/>
      <c r="B9" s="111"/>
      <c r="C9" s="111"/>
      <c r="D9" s="111"/>
      <c r="E9" s="123"/>
      <c r="F9" s="111"/>
      <c r="G9" s="111"/>
      <c r="H9" s="114"/>
      <c r="I9" s="111"/>
      <c r="J9" s="352"/>
      <c r="K9" s="352"/>
      <c r="L9" s="352"/>
      <c r="M9" s="352"/>
      <c r="N9" s="353"/>
      <c r="O9" s="353"/>
    </row>
    <row r="10" spans="1:131" ht="15" x14ac:dyDescent="0.25">
      <c r="A10" s="485"/>
      <c r="B10" s="485"/>
      <c r="C10" s="485"/>
      <c r="D10" s="485"/>
      <c r="E10" s="329"/>
      <c r="F10" s="485"/>
      <c r="G10" s="485"/>
      <c r="H10" s="93"/>
      <c r="I10" s="485"/>
      <c r="J10" s="351"/>
      <c r="K10" s="351"/>
      <c r="L10" s="351"/>
      <c r="M10" s="351"/>
      <c r="N10" s="96"/>
      <c r="O10" s="96"/>
    </row>
    <row r="11" spans="1:131" ht="15" x14ac:dyDescent="0.25">
      <c r="A11" s="901" t="s">
        <v>203</v>
      </c>
      <c r="B11" s="902"/>
      <c r="C11" s="902"/>
      <c r="D11" s="902"/>
      <c r="E11" s="902"/>
      <c r="F11" s="902"/>
      <c r="G11" s="902"/>
      <c r="H11" s="902"/>
      <c r="I11" s="902"/>
      <c r="J11" s="902"/>
      <c r="K11" s="902"/>
      <c r="L11" s="902"/>
      <c r="M11" s="902"/>
      <c r="N11" s="902"/>
      <c r="O11" s="903"/>
    </row>
    <row r="12" spans="1:131" ht="60" x14ac:dyDescent="0.25">
      <c r="A12" s="176" t="s">
        <v>89</v>
      </c>
      <c r="B12" s="176" t="s">
        <v>90</v>
      </c>
      <c r="C12" s="177" t="s">
        <v>0</v>
      </c>
      <c r="D12" s="180" t="s">
        <v>124</v>
      </c>
      <c r="E12" s="176" t="s">
        <v>143</v>
      </c>
      <c r="F12" s="176" t="s">
        <v>144</v>
      </c>
      <c r="G12" s="176" t="s">
        <v>13</v>
      </c>
      <c r="H12" s="382" t="s">
        <v>88</v>
      </c>
      <c r="I12" s="176" t="s">
        <v>12</v>
      </c>
      <c r="J12" s="400" t="s">
        <v>150</v>
      </c>
      <c r="K12" s="400" t="s">
        <v>151</v>
      </c>
      <c r="L12" s="400" t="s">
        <v>157</v>
      </c>
      <c r="M12" s="400" t="s">
        <v>149</v>
      </c>
      <c r="N12" s="400" t="s">
        <v>179</v>
      </c>
      <c r="O12" s="400" t="s">
        <v>205</v>
      </c>
    </row>
    <row r="13" spans="1:131" ht="15" x14ac:dyDescent="0.25">
      <c r="A13" s="184" t="s">
        <v>197</v>
      </c>
      <c r="B13" s="184"/>
      <c r="C13" s="185"/>
      <c r="D13" s="185"/>
      <c r="E13" s="184"/>
      <c r="F13" s="184"/>
      <c r="G13" s="184"/>
      <c r="H13" s="383"/>
      <c r="I13" s="184"/>
      <c r="J13" s="403"/>
      <c r="K13" s="403"/>
      <c r="L13" s="403"/>
      <c r="M13" s="403"/>
      <c r="N13" s="403"/>
      <c r="O13" s="404"/>
    </row>
    <row r="14" spans="1:131" ht="30" x14ac:dyDescent="0.25">
      <c r="A14" s="482" t="s">
        <v>8</v>
      </c>
      <c r="B14" s="541" t="s">
        <v>7</v>
      </c>
      <c r="C14" s="482" t="s">
        <v>239</v>
      </c>
      <c r="D14" s="482" t="s">
        <v>238</v>
      </c>
      <c r="E14" s="327" t="s">
        <v>32</v>
      </c>
      <c r="F14" s="485" t="s">
        <v>44</v>
      </c>
      <c r="G14" s="482" t="s">
        <v>22</v>
      </c>
      <c r="H14" s="483">
        <v>41820</v>
      </c>
      <c r="I14" s="482" t="s">
        <v>132</v>
      </c>
      <c r="J14" s="88">
        <v>19.27</v>
      </c>
      <c r="K14" s="88">
        <v>-18.21</v>
      </c>
      <c r="L14" s="488">
        <v>1.0599999999999987</v>
      </c>
      <c r="M14" s="88"/>
      <c r="N14" s="88"/>
      <c r="O14" s="88"/>
    </row>
    <row r="15" spans="1:131" ht="30" x14ac:dyDescent="0.25">
      <c r="A15" s="485" t="s">
        <v>8</v>
      </c>
      <c r="B15" s="485" t="s">
        <v>193</v>
      </c>
      <c r="C15" s="485" t="s">
        <v>239</v>
      </c>
      <c r="D15" s="485" t="s">
        <v>238</v>
      </c>
      <c r="E15" s="485" t="s">
        <v>32</v>
      </c>
      <c r="F15" s="485" t="s">
        <v>44</v>
      </c>
      <c r="G15" s="485" t="s">
        <v>22</v>
      </c>
      <c r="H15" s="385">
        <v>42185</v>
      </c>
      <c r="I15" s="485" t="s">
        <v>133</v>
      </c>
      <c r="J15" s="379">
        <v>13.91</v>
      </c>
      <c r="K15" s="379">
        <v>0</v>
      </c>
      <c r="L15" s="489">
        <v>13.91</v>
      </c>
      <c r="M15" s="379"/>
      <c r="N15" s="379"/>
      <c r="O15" s="379"/>
    </row>
    <row r="16" spans="1:131" ht="30" x14ac:dyDescent="0.25">
      <c r="A16" s="482" t="s">
        <v>8</v>
      </c>
      <c r="B16" s="482" t="s">
        <v>193</v>
      </c>
      <c r="C16" s="482" t="s">
        <v>239</v>
      </c>
      <c r="D16" s="482" t="s">
        <v>238</v>
      </c>
      <c r="E16" s="482" t="s">
        <v>32</v>
      </c>
      <c r="F16" s="485" t="s">
        <v>44</v>
      </c>
      <c r="G16" s="482" t="s">
        <v>22</v>
      </c>
      <c r="H16" s="386">
        <v>42551</v>
      </c>
      <c r="I16" s="482" t="s">
        <v>300</v>
      </c>
      <c r="J16" s="380">
        <v>2.27</v>
      </c>
      <c r="K16" s="380">
        <v>0</v>
      </c>
      <c r="L16" s="488">
        <v>2.27</v>
      </c>
      <c r="M16" s="380"/>
      <c r="N16" s="380"/>
      <c r="O16" s="380"/>
    </row>
    <row r="17" spans="1:15" ht="30" x14ac:dyDescent="0.25">
      <c r="A17" s="485" t="s">
        <v>8</v>
      </c>
      <c r="B17" s="485" t="s">
        <v>193</v>
      </c>
      <c r="C17" s="485" t="s">
        <v>239</v>
      </c>
      <c r="D17" s="485" t="s">
        <v>238</v>
      </c>
      <c r="E17" s="485" t="s">
        <v>32</v>
      </c>
      <c r="F17" s="485" t="s">
        <v>44</v>
      </c>
      <c r="G17" s="485" t="s">
        <v>22</v>
      </c>
      <c r="H17" s="385">
        <v>42916</v>
      </c>
      <c r="I17" s="485" t="s">
        <v>345</v>
      </c>
      <c r="J17" s="379">
        <v>0</v>
      </c>
      <c r="K17" s="379">
        <v>0</v>
      </c>
      <c r="L17" s="490">
        <v>0</v>
      </c>
      <c r="M17" s="379"/>
      <c r="N17" s="379"/>
      <c r="O17" s="379"/>
    </row>
    <row r="18" spans="1:15" ht="15" x14ac:dyDescent="0.25">
      <c r="A18" s="181"/>
      <c r="B18" s="181"/>
      <c r="C18" s="181"/>
      <c r="D18" s="181"/>
      <c r="E18" s="182"/>
      <c r="F18" s="181"/>
      <c r="G18" s="181"/>
      <c r="H18" s="183" t="s">
        <v>206</v>
      </c>
      <c r="I18" s="181"/>
      <c r="J18" s="354">
        <v>35.450000000000003</v>
      </c>
      <c r="K18" s="354">
        <v>-18.21</v>
      </c>
      <c r="L18" s="354">
        <v>17.239999999999998</v>
      </c>
      <c r="M18" s="354">
        <v>18.299152999999997</v>
      </c>
      <c r="N18" s="354">
        <v>-1.059153</v>
      </c>
      <c r="O18" s="354">
        <v>35</v>
      </c>
    </row>
    <row r="19" spans="1:15" ht="15" x14ac:dyDescent="0.25">
      <c r="A19" s="181" t="s">
        <v>295</v>
      </c>
      <c r="B19" s="181"/>
      <c r="C19" s="181"/>
      <c r="D19" s="181"/>
      <c r="E19" s="182"/>
      <c r="F19" s="181"/>
      <c r="G19" s="181"/>
      <c r="H19" s="183"/>
      <c r="I19" s="181"/>
      <c r="J19" s="354"/>
      <c r="K19" s="354"/>
      <c r="L19" s="354"/>
      <c r="M19" s="354"/>
      <c r="N19" s="354"/>
      <c r="O19" s="354"/>
    </row>
    <row r="20" spans="1:15" ht="15" x14ac:dyDescent="0.25">
      <c r="A20" s="184" t="s">
        <v>327</v>
      </c>
      <c r="B20" s="184"/>
      <c r="C20" s="185"/>
      <c r="D20" s="185"/>
      <c r="E20" s="184"/>
      <c r="F20" s="184"/>
      <c r="G20" s="184"/>
      <c r="H20" s="383"/>
      <c r="I20" s="184"/>
      <c r="J20" s="459"/>
      <c r="K20" s="459"/>
      <c r="L20" s="459"/>
      <c r="M20" s="459"/>
      <c r="N20" s="459"/>
      <c r="O20" s="186"/>
    </row>
    <row r="21" spans="1:15" ht="30" x14ac:dyDescent="0.25">
      <c r="A21" s="482" t="s">
        <v>8</v>
      </c>
      <c r="B21" s="482" t="s">
        <v>7</v>
      </c>
      <c r="C21" s="482" t="s">
        <v>27</v>
      </c>
      <c r="D21" s="482" t="s">
        <v>127</v>
      </c>
      <c r="E21" s="327" t="s">
        <v>33</v>
      </c>
      <c r="F21" s="485" t="s">
        <v>44</v>
      </c>
      <c r="G21" s="482" t="s">
        <v>22</v>
      </c>
      <c r="H21" s="483">
        <v>41820</v>
      </c>
      <c r="I21" s="482" t="s">
        <v>138</v>
      </c>
      <c r="J21" s="88">
        <v>0.92112859999999996</v>
      </c>
      <c r="K21" s="88">
        <v>-0.92112859999999996</v>
      </c>
      <c r="L21" s="488">
        <v>0</v>
      </c>
      <c r="M21" s="486"/>
      <c r="N21" s="486"/>
      <c r="O21" s="486"/>
    </row>
    <row r="22" spans="1:15" ht="30" x14ac:dyDescent="0.25">
      <c r="A22" s="482" t="s">
        <v>8</v>
      </c>
      <c r="B22" s="485" t="s">
        <v>7</v>
      </c>
      <c r="C22" s="485" t="s">
        <v>27</v>
      </c>
      <c r="D22" s="485" t="s">
        <v>127</v>
      </c>
      <c r="E22" s="485" t="s">
        <v>33</v>
      </c>
      <c r="F22" s="485" t="s">
        <v>44</v>
      </c>
      <c r="G22" s="485" t="s">
        <v>22</v>
      </c>
      <c r="H22" s="385">
        <v>42185</v>
      </c>
      <c r="I22" s="485" t="s">
        <v>139</v>
      </c>
      <c r="J22" s="379"/>
      <c r="K22" s="379"/>
      <c r="L22" s="489">
        <v>0</v>
      </c>
      <c r="M22" s="484"/>
      <c r="N22" s="484"/>
      <c r="O22" s="484"/>
    </row>
    <row r="23" spans="1:15" ht="30" x14ac:dyDescent="0.25">
      <c r="A23" s="482" t="s">
        <v>8</v>
      </c>
      <c r="B23" s="482" t="s">
        <v>7</v>
      </c>
      <c r="C23" s="482" t="s">
        <v>27</v>
      </c>
      <c r="D23" s="482" t="s">
        <v>127</v>
      </c>
      <c r="E23" s="482" t="s">
        <v>33</v>
      </c>
      <c r="F23" s="485" t="s">
        <v>44</v>
      </c>
      <c r="G23" s="482" t="s">
        <v>22</v>
      </c>
      <c r="H23" s="386">
        <v>42551</v>
      </c>
      <c r="I23" s="482" t="s">
        <v>301</v>
      </c>
      <c r="J23" s="380"/>
      <c r="K23" s="380"/>
      <c r="L23" s="488">
        <v>0</v>
      </c>
      <c r="M23" s="487"/>
      <c r="N23" s="487"/>
      <c r="O23" s="487"/>
    </row>
    <row r="24" spans="1:15" ht="30" x14ac:dyDescent="0.25">
      <c r="A24" s="482" t="s">
        <v>8</v>
      </c>
      <c r="B24" s="485" t="s">
        <v>7</v>
      </c>
      <c r="C24" s="485" t="s">
        <v>27</v>
      </c>
      <c r="D24" s="485" t="s">
        <v>127</v>
      </c>
      <c r="E24" s="485" t="s">
        <v>33</v>
      </c>
      <c r="F24" s="485" t="s">
        <v>44</v>
      </c>
      <c r="G24" s="485" t="s">
        <v>22</v>
      </c>
      <c r="H24" s="385">
        <v>42916</v>
      </c>
      <c r="I24" s="485" t="s">
        <v>346</v>
      </c>
      <c r="J24" s="379"/>
      <c r="K24" s="379"/>
      <c r="L24" s="490">
        <v>0</v>
      </c>
      <c r="M24" s="484"/>
      <c r="N24" s="484"/>
      <c r="O24" s="484"/>
    </row>
    <row r="25" spans="1:15" ht="15" x14ac:dyDescent="0.25">
      <c r="A25" s="181" t="s">
        <v>324</v>
      </c>
      <c r="B25" s="181"/>
      <c r="C25" s="181"/>
      <c r="D25" s="181"/>
      <c r="E25" s="182"/>
      <c r="F25" s="181"/>
      <c r="G25" s="181"/>
      <c r="H25" s="183" t="s">
        <v>206</v>
      </c>
      <c r="I25" s="181"/>
      <c r="J25" s="354">
        <v>0.92112859999999996</v>
      </c>
      <c r="K25" s="354">
        <v>-0.92112859999999996</v>
      </c>
      <c r="L25" s="354">
        <v>0</v>
      </c>
      <c r="M25" s="354">
        <v>1.7952399999999875E-4</v>
      </c>
      <c r="N25" s="354">
        <v>-1.7952399999999875E-4</v>
      </c>
      <c r="O25" s="354"/>
    </row>
    <row r="26" spans="1:15" ht="15" x14ac:dyDescent="0.25">
      <c r="A26" s="181"/>
      <c r="B26" s="181"/>
      <c r="C26" s="181"/>
      <c r="D26" s="181"/>
      <c r="E26" s="182"/>
      <c r="F26" s="181"/>
      <c r="G26" s="181"/>
      <c r="H26" s="183"/>
      <c r="I26" s="181"/>
      <c r="J26" s="354"/>
      <c r="K26" s="354"/>
      <c r="L26" s="354"/>
      <c r="M26" s="354"/>
      <c r="N26" s="354"/>
      <c r="O26" s="354"/>
    </row>
    <row r="27" spans="1:15" ht="15" x14ac:dyDescent="0.25">
      <c r="A27" s="184" t="s">
        <v>328</v>
      </c>
      <c r="B27" s="184"/>
      <c r="C27" s="185"/>
      <c r="D27" s="185"/>
      <c r="E27" s="184"/>
      <c r="F27" s="184"/>
      <c r="G27" s="184"/>
      <c r="H27" s="383"/>
      <c r="I27" s="184"/>
      <c r="J27" s="459"/>
      <c r="K27" s="459"/>
      <c r="L27" s="459"/>
      <c r="M27" s="459"/>
      <c r="N27" s="459"/>
      <c r="O27" s="186"/>
    </row>
    <row r="28" spans="1:15" ht="30" x14ac:dyDescent="0.25">
      <c r="A28" s="482" t="s">
        <v>8</v>
      </c>
      <c r="B28" s="482" t="s">
        <v>7</v>
      </c>
      <c r="C28" s="482" t="s">
        <v>92</v>
      </c>
      <c r="D28" s="482" t="s">
        <v>128</v>
      </c>
      <c r="E28" s="327" t="s">
        <v>33</v>
      </c>
      <c r="F28" s="327" t="s">
        <v>45</v>
      </c>
      <c r="G28" s="482" t="s">
        <v>22</v>
      </c>
      <c r="H28" s="483">
        <v>41820</v>
      </c>
      <c r="I28" s="482" t="s">
        <v>138</v>
      </c>
      <c r="J28" s="88">
        <v>3.32167952</v>
      </c>
      <c r="K28" s="88">
        <v>-2.8874187200000003</v>
      </c>
      <c r="L28" s="488">
        <v>0.43426079999999967</v>
      </c>
      <c r="M28" s="379"/>
      <c r="N28" s="379"/>
      <c r="O28" s="379"/>
    </row>
    <row r="29" spans="1:15" ht="30" x14ac:dyDescent="0.25">
      <c r="A29" s="485" t="s">
        <v>8</v>
      </c>
      <c r="B29" s="485" t="s">
        <v>7</v>
      </c>
      <c r="C29" s="485" t="s">
        <v>92</v>
      </c>
      <c r="D29" s="485" t="s">
        <v>128</v>
      </c>
      <c r="E29" s="485" t="s">
        <v>33</v>
      </c>
      <c r="F29" s="485" t="s">
        <v>45</v>
      </c>
      <c r="G29" s="485" t="s">
        <v>22</v>
      </c>
      <c r="H29" s="385">
        <v>42185</v>
      </c>
      <c r="I29" s="485" t="s">
        <v>139</v>
      </c>
      <c r="J29" s="379">
        <v>1.5495680000000001</v>
      </c>
      <c r="K29" s="379">
        <v>0</v>
      </c>
      <c r="L29" s="489">
        <v>1.5495680000000001</v>
      </c>
      <c r="M29" s="380"/>
      <c r="N29" s="380"/>
      <c r="O29" s="380"/>
    </row>
    <row r="30" spans="1:15" ht="30" x14ac:dyDescent="0.25">
      <c r="A30" s="482" t="s">
        <v>8</v>
      </c>
      <c r="B30" s="482" t="s">
        <v>7</v>
      </c>
      <c r="C30" s="482" t="s">
        <v>92</v>
      </c>
      <c r="D30" s="482" t="s">
        <v>128</v>
      </c>
      <c r="E30" s="482" t="s">
        <v>33</v>
      </c>
      <c r="F30" s="482" t="s">
        <v>45</v>
      </c>
      <c r="G30" s="482" t="s">
        <v>22</v>
      </c>
      <c r="H30" s="386">
        <v>42551</v>
      </c>
      <c r="I30" s="482" t="s">
        <v>301</v>
      </c>
      <c r="J30" s="380">
        <v>0.72236800000000001</v>
      </c>
      <c r="K30" s="380">
        <v>0</v>
      </c>
      <c r="L30" s="488">
        <v>0.72236800000000001</v>
      </c>
      <c r="M30" s="379"/>
      <c r="N30" s="379"/>
      <c r="O30" s="379"/>
    </row>
    <row r="31" spans="1:15" ht="30" x14ac:dyDescent="0.25">
      <c r="A31" s="485" t="s">
        <v>8</v>
      </c>
      <c r="B31" s="485" t="s">
        <v>7</v>
      </c>
      <c r="C31" s="485" t="s">
        <v>92</v>
      </c>
      <c r="D31" s="485" t="s">
        <v>128</v>
      </c>
      <c r="E31" s="485" t="s">
        <v>33</v>
      </c>
      <c r="F31" s="485" t="s">
        <v>45</v>
      </c>
      <c r="G31" s="485" t="s">
        <v>22</v>
      </c>
      <c r="H31" s="385">
        <v>42916</v>
      </c>
      <c r="I31" s="485" t="s">
        <v>346</v>
      </c>
      <c r="J31" s="379">
        <v>0</v>
      </c>
      <c r="K31" s="379">
        <v>0</v>
      </c>
      <c r="L31" s="490">
        <v>0</v>
      </c>
      <c r="M31" s="380"/>
      <c r="N31" s="380"/>
      <c r="O31" s="380"/>
    </row>
    <row r="32" spans="1:15" ht="15" x14ac:dyDescent="0.25">
      <c r="A32" s="181" t="s">
        <v>325</v>
      </c>
      <c r="B32" s="181"/>
      <c r="C32" s="181"/>
      <c r="D32" s="181"/>
      <c r="E32" s="182"/>
      <c r="F32" s="181"/>
      <c r="G32" s="181"/>
      <c r="H32" s="183" t="s">
        <v>206</v>
      </c>
      <c r="I32" s="181"/>
      <c r="J32" s="354">
        <v>5.5936155200000002</v>
      </c>
      <c r="K32" s="354">
        <v>-2.8874187200000003</v>
      </c>
      <c r="L32" s="354">
        <v>2.7061967999999998</v>
      </c>
      <c r="M32" s="354">
        <v>3.4018205999999998</v>
      </c>
      <c r="N32" s="354">
        <v>-0.69562380000000001</v>
      </c>
      <c r="O32" s="354"/>
    </row>
    <row r="33" spans="1:15" ht="30" x14ac:dyDescent="0.25">
      <c r="A33" s="181" t="s">
        <v>331</v>
      </c>
      <c r="B33" s="181"/>
      <c r="C33" s="181"/>
      <c r="D33" s="181"/>
      <c r="E33" s="182"/>
      <c r="F33" s="181"/>
      <c r="G33" s="181"/>
      <c r="H33" s="183"/>
      <c r="I33" s="181"/>
      <c r="J33" s="354">
        <f>J32 + J25</f>
        <v>6.5147441200000005</v>
      </c>
      <c r="K33" s="354">
        <f>K32 + K25</f>
        <v>-3.8085473200000002</v>
      </c>
      <c r="L33" s="354">
        <f>L32 + L25</f>
        <v>2.7061967999999998</v>
      </c>
      <c r="M33" s="354">
        <f>M32 + M25</f>
        <v>3.4020001239999997</v>
      </c>
      <c r="N33" s="354">
        <f>IF(AND(N32&gt;0, N25&gt;0),N32 + N25,IF(AND(N32&gt;0, N25&lt;=0),N32,IF(AND(N32&lt;0, N25&gt;=0), N25,0)))</f>
        <v>0</v>
      </c>
      <c r="O33" s="354"/>
    </row>
    <row r="34" spans="1:15" ht="15" x14ac:dyDescent="0.25">
      <c r="A34" s="184" t="s">
        <v>298</v>
      </c>
      <c r="B34" s="184"/>
      <c r="C34" s="185"/>
      <c r="D34" s="185"/>
      <c r="E34" s="184"/>
      <c r="F34" s="184"/>
      <c r="G34" s="184"/>
      <c r="H34" s="383"/>
      <c r="I34" s="184"/>
      <c r="J34" s="403"/>
      <c r="K34" s="403"/>
      <c r="L34" s="403"/>
      <c r="M34" s="403"/>
      <c r="N34" s="403"/>
      <c r="O34" s="404"/>
    </row>
    <row r="35" spans="1:15" ht="15" x14ac:dyDescent="0.25">
      <c r="A35" s="901" t="s">
        <v>325</v>
      </c>
      <c r="B35" s="902"/>
      <c r="C35" s="902"/>
      <c r="D35" s="902"/>
      <c r="E35" s="902"/>
      <c r="F35" s="902"/>
      <c r="G35" s="902"/>
      <c r="H35" s="902"/>
      <c r="I35" s="902"/>
      <c r="J35" s="902"/>
      <c r="K35" s="902"/>
      <c r="L35" s="902"/>
      <c r="M35" s="902"/>
      <c r="N35" s="902"/>
      <c r="O35" s="903"/>
    </row>
    <row r="36" spans="1:15" ht="60" x14ac:dyDescent="0.25">
      <c r="A36" s="176" t="s">
        <v>89</v>
      </c>
      <c r="B36" s="176" t="s">
        <v>90</v>
      </c>
      <c r="C36" s="177" t="s">
        <v>0</v>
      </c>
      <c r="D36" s="177" t="s">
        <v>124</v>
      </c>
      <c r="E36" s="176" t="s">
        <v>143</v>
      </c>
      <c r="F36" s="176" t="s">
        <v>144</v>
      </c>
      <c r="G36" s="176" t="s">
        <v>13</v>
      </c>
      <c r="H36" s="382" t="s">
        <v>88</v>
      </c>
      <c r="I36" s="176" t="s">
        <v>12</v>
      </c>
      <c r="J36" s="400" t="s">
        <v>200</v>
      </c>
      <c r="K36" s="400" t="s">
        <v>199</v>
      </c>
      <c r="L36" s="400" t="s">
        <v>201</v>
      </c>
      <c r="M36" s="400" t="s">
        <v>149</v>
      </c>
      <c r="N36" s="400" t="s">
        <v>179</v>
      </c>
      <c r="O36" s="400" t="s">
        <v>304</v>
      </c>
    </row>
    <row r="37" spans="1:15" ht="30" x14ac:dyDescent="0.25">
      <c r="A37" s="485" t="s">
        <v>84</v>
      </c>
      <c r="B37" s="485" t="s">
        <v>9</v>
      </c>
      <c r="C37" s="485" t="s">
        <v>183</v>
      </c>
      <c r="D37" s="485" t="s">
        <v>142</v>
      </c>
      <c r="E37" s="329" t="s">
        <v>142</v>
      </c>
      <c r="F37" s="485" t="s">
        <v>142</v>
      </c>
      <c r="G37" s="485" t="s">
        <v>22</v>
      </c>
      <c r="H37" s="93">
        <v>41449</v>
      </c>
      <c r="I37" s="485" t="s">
        <v>172</v>
      </c>
      <c r="J37" s="96">
        <v>7.0349999999999996E-2</v>
      </c>
      <c r="K37" s="96" t="s">
        <v>299</v>
      </c>
      <c r="L37" s="292">
        <v>7.0349999999999996E-2</v>
      </c>
      <c r="M37" s="292">
        <f>+O37*50000/1000000</f>
        <v>6.6104999999999997E-2</v>
      </c>
      <c r="N37" s="292">
        <f>M37-L37</f>
        <v>-4.2449999999999988E-3</v>
      </c>
      <c r="O37" s="486">
        <v>1.3221000000000001</v>
      </c>
    </row>
    <row r="38" spans="1:15" ht="30" x14ac:dyDescent="0.25">
      <c r="A38" s="111" t="s">
        <v>297</v>
      </c>
      <c r="B38" s="99"/>
      <c r="C38" s="2"/>
      <c r="D38" s="2"/>
      <c r="E38" s="2"/>
      <c r="F38" s="2"/>
      <c r="G38" s="2"/>
      <c r="H38" s="3"/>
      <c r="I38" s="2"/>
      <c r="J38" s="293"/>
      <c r="K38" s="293"/>
      <c r="L38" s="491">
        <f>L37</f>
        <v>7.0349999999999996E-2</v>
      </c>
      <c r="M38" s="144"/>
      <c r="N38" s="491">
        <f>IF(N37&gt;0,N37,0)</f>
        <v>0</v>
      </c>
      <c r="O38" s="144"/>
    </row>
    <row r="39" spans="1:15" ht="15" x14ac:dyDescent="0.25">
      <c r="A39" s="99"/>
      <c r="B39" s="99"/>
      <c r="C39" s="99"/>
      <c r="D39" s="99"/>
      <c r="E39" s="99"/>
      <c r="F39" s="99"/>
      <c r="G39" s="99"/>
      <c r="H39" s="388"/>
      <c r="I39" s="99"/>
      <c r="J39" s="144"/>
      <c r="K39" s="144"/>
      <c r="L39" s="144"/>
      <c r="M39" s="144"/>
      <c r="N39" s="144"/>
      <c r="O39" s="144"/>
    </row>
    <row r="40" spans="1:15" ht="15" x14ac:dyDescent="0.25">
      <c r="A40" s="99"/>
      <c r="B40" s="99"/>
      <c r="C40" s="99"/>
      <c r="D40" s="99"/>
      <c r="E40" s="99"/>
      <c r="F40" s="99"/>
      <c r="G40" s="99"/>
      <c r="H40" s="388"/>
      <c r="I40" s="99"/>
      <c r="J40" s="77"/>
      <c r="K40" s="144"/>
      <c r="L40" s="144"/>
      <c r="M40" s="77"/>
      <c r="N40" s="77"/>
      <c r="O40" s="77"/>
    </row>
    <row r="41" spans="1:15" ht="15" x14ac:dyDescent="0.25">
      <c r="A41" s="99"/>
      <c r="B41" s="99"/>
      <c r="C41" s="99"/>
      <c r="D41" s="99"/>
      <c r="E41" s="99"/>
      <c r="F41" s="99"/>
      <c r="G41" s="99"/>
      <c r="H41" s="388"/>
      <c r="I41" s="99"/>
      <c r="J41" s="77"/>
      <c r="K41" s="77"/>
      <c r="L41" s="77"/>
      <c r="M41" s="77"/>
      <c r="N41" s="77"/>
      <c r="O41" s="77"/>
    </row>
    <row r="42" spans="1:15" ht="15" x14ac:dyDescent="0.25">
      <c r="A42" s="99"/>
      <c r="B42" s="99"/>
      <c r="C42" s="99"/>
      <c r="D42" s="99"/>
      <c r="E42" s="99"/>
      <c r="F42" s="99"/>
      <c r="G42" s="99"/>
      <c r="H42" s="388"/>
      <c r="I42" s="99"/>
      <c r="J42" s="77"/>
      <c r="K42" s="77"/>
      <c r="L42" s="77"/>
      <c r="M42" s="77"/>
      <c r="N42" s="77"/>
      <c r="O42" s="77"/>
    </row>
    <row r="43" spans="1:15" ht="15" x14ac:dyDescent="0.25">
      <c r="A43" s="99"/>
      <c r="B43" s="99"/>
      <c r="C43" s="99"/>
      <c r="D43" s="99"/>
      <c r="E43" s="99"/>
      <c r="F43" s="99"/>
      <c r="G43" s="99"/>
      <c r="H43" s="388"/>
      <c r="I43" s="99"/>
      <c r="J43" s="77"/>
      <c r="K43" s="77"/>
      <c r="L43" s="77"/>
      <c r="M43" s="77"/>
      <c r="N43" s="77"/>
      <c r="O43" s="77"/>
    </row>
    <row r="44" spans="1:15" ht="15" x14ac:dyDescent="0.25">
      <c r="A44" s="99"/>
      <c r="B44" s="99"/>
      <c r="C44" s="99"/>
      <c r="D44" s="99"/>
      <c r="E44" s="99"/>
      <c r="F44" s="99"/>
      <c r="G44" s="99"/>
      <c r="H44" s="388"/>
      <c r="I44" s="99"/>
      <c r="J44" s="77"/>
      <c r="K44" s="77"/>
      <c r="L44" s="77"/>
      <c r="M44" s="77"/>
      <c r="N44" s="77"/>
      <c r="O44" s="77"/>
    </row>
    <row r="45" spans="1:15" ht="15" x14ac:dyDescent="0.25">
      <c r="A45" s="99"/>
      <c r="B45" s="99"/>
      <c r="C45" s="99"/>
      <c r="D45" s="99"/>
      <c r="E45" s="99"/>
      <c r="F45" s="99"/>
      <c r="G45" s="99"/>
      <c r="H45" s="388"/>
      <c r="I45" s="99"/>
      <c r="J45" s="77"/>
      <c r="K45" s="77"/>
      <c r="L45" s="77"/>
      <c r="M45" s="77"/>
      <c r="N45" s="77"/>
      <c r="O45" s="77"/>
    </row>
    <row r="46" spans="1:15" ht="15" x14ac:dyDescent="0.25">
      <c r="A46" s="99"/>
      <c r="B46" s="99"/>
      <c r="C46" s="99"/>
      <c r="D46" s="99"/>
      <c r="E46" s="99"/>
      <c r="F46" s="99"/>
      <c r="G46" s="99"/>
      <c r="H46" s="388"/>
      <c r="I46" s="99"/>
      <c r="J46" s="77"/>
      <c r="K46" s="77"/>
      <c r="L46" s="77"/>
      <c r="M46" s="77"/>
      <c r="N46" s="77"/>
      <c r="O46" s="77"/>
    </row>
    <row r="47" spans="1:15" ht="15.6" thickBot="1" x14ac:dyDescent="0.3">
      <c r="A47" s="904"/>
      <c r="B47" s="904"/>
      <c r="C47" s="904"/>
      <c r="D47" s="904"/>
      <c r="E47" s="904"/>
      <c r="F47" s="904"/>
      <c r="G47" s="904"/>
      <c r="H47" s="904"/>
      <c r="I47" s="904"/>
      <c r="J47" s="904"/>
      <c r="K47" s="904"/>
      <c r="L47" s="904"/>
      <c r="M47" s="904"/>
      <c r="N47" s="904"/>
      <c r="O47" s="904"/>
    </row>
    <row r="48" spans="1:15" ht="15.6" x14ac:dyDescent="0.3">
      <c r="A48" s="905"/>
      <c r="B48" s="905"/>
      <c r="C48" s="905"/>
      <c r="D48" s="905"/>
      <c r="E48" s="905"/>
      <c r="F48" s="905"/>
      <c r="G48" s="99"/>
      <c r="H48" s="388"/>
      <c r="I48" s="99"/>
      <c r="J48" s="77"/>
      <c r="K48" s="77"/>
      <c r="L48" s="77"/>
      <c r="M48" s="77"/>
      <c r="N48" s="77"/>
      <c r="O48" s="77"/>
    </row>
    <row r="49" spans="1:15" ht="15.6" x14ac:dyDescent="0.3">
      <c r="A49" s="202"/>
      <c r="B49" s="203"/>
      <c r="C49" s="203"/>
      <c r="D49" s="202"/>
      <c r="E49" s="202"/>
      <c r="F49" s="202"/>
      <c r="G49" s="99"/>
      <c r="H49" s="384"/>
      <c r="I49" s="99"/>
      <c r="J49" s="77"/>
      <c r="K49" s="77"/>
      <c r="L49" s="77"/>
      <c r="M49" s="77"/>
      <c r="N49" s="77"/>
      <c r="O49" s="77"/>
    </row>
    <row r="50" spans="1:15" ht="15" x14ac:dyDescent="0.25">
      <c r="A50" s="391"/>
      <c r="B50" s="391"/>
      <c r="C50" s="391"/>
      <c r="D50" s="391"/>
      <c r="E50" s="391"/>
      <c r="F50" s="391"/>
      <c r="G50" s="99"/>
      <c r="H50" s="388"/>
      <c r="I50" s="99"/>
      <c r="J50" s="77"/>
      <c r="K50" s="77"/>
      <c r="L50" s="77"/>
      <c r="M50" s="77"/>
      <c r="N50" s="77"/>
      <c r="O50" s="77"/>
    </row>
    <row r="51" spans="1:15" ht="15" x14ac:dyDescent="0.25">
      <c r="A51" s="395"/>
      <c r="B51" s="392"/>
      <c r="C51" s="392"/>
      <c r="D51" s="392"/>
      <c r="E51" s="392"/>
      <c r="F51" s="205"/>
      <c r="G51" s="99"/>
      <c r="H51" s="388"/>
      <c r="I51" s="99"/>
      <c r="J51" s="77"/>
      <c r="K51" s="77"/>
      <c r="L51" s="77"/>
      <c r="M51" s="77"/>
      <c r="N51" s="77"/>
      <c r="O51" s="77"/>
    </row>
    <row r="52" spans="1:15" ht="15" x14ac:dyDescent="0.25">
      <c r="A52" s="395"/>
      <c r="B52" s="392"/>
      <c r="C52" s="392"/>
      <c r="D52" s="392"/>
      <c r="E52" s="392"/>
      <c r="F52" s="205"/>
      <c r="G52" s="99"/>
      <c r="H52" s="388"/>
      <c r="I52" s="99"/>
      <c r="J52" s="77"/>
      <c r="K52" s="77"/>
      <c r="L52" s="77"/>
      <c r="M52" s="77"/>
      <c r="N52" s="77"/>
      <c r="O52" s="77"/>
    </row>
    <row r="53" spans="1:15" ht="15" x14ac:dyDescent="0.25">
      <c r="A53" s="391"/>
      <c r="B53" s="392"/>
      <c r="C53" s="392"/>
      <c r="D53" s="392"/>
      <c r="E53" s="392"/>
      <c r="F53" s="205"/>
      <c r="G53" s="99"/>
      <c r="H53" s="388"/>
      <c r="I53" s="99"/>
      <c r="J53" s="77"/>
      <c r="K53" s="77"/>
      <c r="L53" s="77"/>
      <c r="M53" s="77"/>
      <c r="N53" s="77"/>
      <c r="O53" s="77"/>
    </row>
    <row r="54" spans="1:15" ht="15" x14ac:dyDescent="0.25">
      <c r="A54" s="395"/>
      <c r="B54" s="392"/>
      <c r="C54" s="392"/>
      <c r="D54" s="392"/>
      <c r="E54" s="392"/>
      <c r="F54" s="205"/>
      <c r="G54" s="99"/>
      <c r="H54" s="388"/>
      <c r="I54" s="99"/>
      <c r="J54" s="77"/>
      <c r="K54" s="77"/>
      <c r="L54" s="77"/>
      <c r="M54" s="77"/>
      <c r="N54" s="77"/>
      <c r="O54" s="77"/>
    </row>
    <row r="55" spans="1:15" ht="15" x14ac:dyDescent="0.25">
      <c r="A55" s="391"/>
      <c r="B55" s="392"/>
      <c r="C55" s="392"/>
      <c r="D55" s="392"/>
      <c r="E55" s="392"/>
      <c r="F55" s="205"/>
      <c r="G55" s="99"/>
      <c r="H55" s="388"/>
      <c r="I55" s="99"/>
      <c r="J55" s="77"/>
      <c r="K55" s="77"/>
      <c r="L55" s="77"/>
      <c r="M55" s="77"/>
      <c r="N55" s="77"/>
      <c r="O55" s="77"/>
    </row>
    <row r="56" spans="1:15" ht="15" x14ac:dyDescent="0.25">
      <c r="A56" s="391"/>
      <c r="B56" s="392"/>
      <c r="C56" s="392"/>
      <c r="D56" s="392"/>
      <c r="E56" s="392"/>
      <c r="F56" s="205"/>
      <c r="G56" s="99"/>
      <c r="H56" s="388"/>
      <c r="I56" s="99"/>
      <c r="J56" s="77"/>
      <c r="K56" s="77"/>
      <c r="L56" s="77"/>
      <c r="M56" s="77"/>
      <c r="N56" s="77"/>
      <c r="O56" s="77"/>
    </row>
    <row r="57" spans="1:15" ht="16.8" x14ac:dyDescent="0.4">
      <c r="A57" s="391"/>
      <c r="B57" s="393"/>
      <c r="C57" s="393"/>
      <c r="D57" s="393"/>
      <c r="E57" s="393"/>
      <c r="F57" s="207"/>
      <c r="G57" s="99"/>
      <c r="H57" s="389"/>
      <c r="I57" s="99"/>
      <c r="J57" s="77"/>
      <c r="K57" s="77"/>
      <c r="L57" s="77"/>
      <c r="M57" s="77"/>
      <c r="N57" s="77"/>
      <c r="O57" s="77"/>
    </row>
    <row r="58" spans="1:15" ht="16.8" x14ac:dyDescent="0.4">
      <c r="A58" s="391"/>
      <c r="B58" s="394"/>
      <c r="C58" s="394"/>
      <c r="D58" s="394"/>
      <c r="E58" s="394"/>
      <c r="F58" s="210"/>
      <c r="G58" s="99"/>
      <c r="H58" s="390"/>
      <c r="I58" s="99"/>
      <c r="J58" s="77"/>
      <c r="K58" s="77"/>
      <c r="L58" s="77"/>
      <c r="M58" s="77"/>
      <c r="N58" s="77"/>
      <c r="O58" s="77"/>
    </row>
    <row r="59" spans="1:15" ht="15" x14ac:dyDescent="0.25">
      <c r="A59" s="391"/>
      <c r="B59" s="391"/>
      <c r="C59" s="391"/>
      <c r="D59" s="391"/>
      <c r="E59" s="391"/>
      <c r="F59" s="391"/>
      <c r="G59" s="99"/>
      <c r="H59" s="388"/>
      <c r="I59" s="99"/>
      <c r="J59" s="77"/>
      <c r="K59" s="77"/>
      <c r="L59" s="77"/>
      <c r="M59" s="77"/>
      <c r="N59" s="77"/>
      <c r="O59" s="77"/>
    </row>
    <row r="60" spans="1:15" ht="15" x14ac:dyDescent="0.25">
      <c r="A60" s="99"/>
      <c r="B60" s="99"/>
      <c r="C60" s="99"/>
      <c r="D60" s="99"/>
      <c r="E60" s="99"/>
      <c r="F60" s="99"/>
      <c r="G60" s="99"/>
      <c r="H60" s="388"/>
      <c r="I60" s="99"/>
      <c r="J60" s="77"/>
      <c r="K60" s="77"/>
      <c r="L60" s="77"/>
      <c r="M60" s="77"/>
      <c r="N60" s="77"/>
      <c r="O60" s="77"/>
    </row>
    <row r="61" spans="1:15" ht="15" x14ac:dyDescent="0.25">
      <c r="A61" s="99"/>
      <c r="B61" s="99"/>
      <c r="C61" s="99"/>
      <c r="D61" s="99"/>
      <c r="E61" s="99"/>
      <c r="F61" s="99"/>
      <c r="G61" s="99"/>
      <c r="H61" s="388"/>
      <c r="I61" s="99"/>
      <c r="J61" s="77"/>
      <c r="K61" s="77"/>
      <c r="L61" s="77"/>
      <c r="M61" s="77"/>
      <c r="N61" s="77"/>
      <c r="O61" s="77"/>
    </row>
    <row r="62" spans="1:15" ht="15" x14ac:dyDescent="0.25">
      <c r="A62" s="99"/>
      <c r="B62" s="99"/>
      <c r="C62" s="99"/>
      <c r="D62" s="99"/>
      <c r="E62" s="99"/>
      <c r="F62" s="99"/>
      <c r="G62" s="99"/>
      <c r="H62" s="388"/>
      <c r="I62" s="99"/>
      <c r="J62" s="77"/>
      <c r="K62" s="77"/>
      <c r="L62" s="77"/>
      <c r="M62" s="77"/>
      <c r="N62" s="77"/>
      <c r="O62" s="77"/>
    </row>
    <row r="63" spans="1:15" ht="15" x14ac:dyDescent="0.25">
      <c r="A63" s="99"/>
      <c r="B63" s="99"/>
      <c r="C63" s="99"/>
      <c r="D63" s="99"/>
      <c r="E63" s="99"/>
      <c r="F63" s="99"/>
      <c r="G63" s="99"/>
      <c r="H63" s="388"/>
      <c r="I63" s="99"/>
      <c r="J63" s="77"/>
      <c r="K63" s="77"/>
      <c r="L63" s="77"/>
      <c r="M63" s="77"/>
      <c r="N63" s="77"/>
      <c r="O63" s="77"/>
    </row>
    <row r="64" spans="1:15" ht="15" x14ac:dyDescent="0.25">
      <c r="A64" s="99"/>
      <c r="B64" s="99"/>
      <c r="C64" s="99"/>
      <c r="D64" s="99"/>
      <c r="E64" s="99"/>
      <c r="F64" s="99"/>
      <c r="G64" s="99"/>
      <c r="H64" s="388"/>
      <c r="I64" s="99"/>
      <c r="J64" s="77"/>
      <c r="K64" s="77"/>
      <c r="L64" s="77"/>
      <c r="M64" s="77"/>
      <c r="N64" s="77"/>
      <c r="O64" s="77"/>
    </row>
    <row r="65" spans="1:15" ht="15" x14ac:dyDescent="0.25">
      <c r="A65" s="99"/>
      <c r="B65" s="99"/>
      <c r="C65" s="99"/>
      <c r="D65" s="99"/>
      <c r="E65" s="99"/>
      <c r="F65" s="99"/>
      <c r="G65" s="99"/>
      <c r="H65" s="388"/>
      <c r="I65" s="99"/>
      <c r="J65" s="77"/>
      <c r="K65" s="77"/>
      <c r="L65" s="77"/>
      <c r="M65" s="77"/>
      <c r="N65" s="77"/>
      <c r="O65" s="77"/>
    </row>
    <row r="66" spans="1:15" ht="15" x14ac:dyDescent="0.25">
      <c r="A66" s="99"/>
      <c r="B66" s="99"/>
      <c r="C66" s="99"/>
      <c r="D66" s="99"/>
      <c r="E66" s="99"/>
      <c r="F66" s="99"/>
      <c r="G66" s="99"/>
      <c r="H66" s="388"/>
      <c r="I66" s="99"/>
      <c r="J66" s="77"/>
      <c r="K66" s="77"/>
      <c r="L66" s="77"/>
      <c r="M66" s="77"/>
      <c r="N66" s="77"/>
      <c r="O66" s="77"/>
    </row>
    <row r="67" spans="1:15" ht="15" x14ac:dyDescent="0.25">
      <c r="A67" s="99"/>
      <c r="B67" s="99"/>
      <c r="C67" s="99"/>
      <c r="D67" s="99"/>
      <c r="E67" s="99"/>
      <c r="F67" s="99"/>
      <c r="G67" s="99"/>
      <c r="H67" s="388"/>
      <c r="I67" s="99"/>
      <c r="J67" s="77"/>
      <c r="K67" s="77"/>
      <c r="L67" s="77"/>
      <c r="M67" s="77"/>
      <c r="N67" s="77"/>
      <c r="O67" s="77"/>
    </row>
    <row r="68" spans="1:15" ht="15" x14ac:dyDescent="0.25">
      <c r="A68" s="99"/>
      <c r="B68" s="99"/>
      <c r="C68" s="99"/>
      <c r="D68" s="99"/>
      <c r="E68" s="99"/>
      <c r="F68" s="99"/>
      <c r="G68" s="99"/>
      <c r="H68" s="388"/>
      <c r="I68" s="99"/>
      <c r="J68" s="77"/>
      <c r="K68" s="77"/>
      <c r="L68" s="77"/>
      <c r="M68" s="77"/>
      <c r="N68" s="77"/>
      <c r="O68" s="77"/>
    </row>
    <row r="69" spans="1:15" ht="15" x14ac:dyDescent="0.25">
      <c r="A69" s="99"/>
      <c r="B69" s="99"/>
      <c r="C69" s="99"/>
      <c r="D69" s="99"/>
      <c r="E69" s="99"/>
      <c r="F69" s="99"/>
      <c r="G69" s="99"/>
      <c r="H69" s="388"/>
      <c r="I69" s="99"/>
      <c r="J69" s="77"/>
      <c r="K69" s="77"/>
      <c r="L69" s="77"/>
      <c r="M69" s="77"/>
      <c r="N69" s="77"/>
      <c r="O69" s="77"/>
    </row>
    <row r="70" spans="1:15" ht="15" x14ac:dyDescent="0.25">
      <c r="A70" s="99"/>
      <c r="B70" s="99"/>
      <c r="C70" s="99"/>
      <c r="D70" s="99"/>
      <c r="E70" s="99"/>
      <c r="F70" s="99"/>
      <c r="G70" s="99"/>
      <c r="H70" s="388"/>
      <c r="I70" s="99"/>
      <c r="J70" s="77"/>
      <c r="K70" s="77"/>
      <c r="L70" s="77"/>
      <c r="M70" s="77"/>
      <c r="N70" s="77"/>
      <c r="O70" s="77"/>
    </row>
    <row r="71" spans="1:15" ht="15" x14ac:dyDescent="0.25">
      <c r="A71" s="99"/>
      <c r="B71" s="99"/>
      <c r="C71" s="99"/>
      <c r="D71" s="99"/>
      <c r="E71" s="99"/>
      <c r="F71" s="99"/>
      <c r="G71" s="99"/>
      <c r="H71" s="388"/>
      <c r="I71" s="99"/>
      <c r="J71" s="77"/>
      <c r="K71" s="77"/>
      <c r="L71" s="77"/>
      <c r="M71" s="77"/>
      <c r="N71" s="77"/>
      <c r="O71" s="77"/>
    </row>
    <row r="72" spans="1:15" ht="15" x14ac:dyDescent="0.25">
      <c r="A72" s="99"/>
      <c r="B72" s="99"/>
      <c r="C72" s="99"/>
      <c r="D72" s="99"/>
      <c r="E72" s="99"/>
      <c r="F72" s="99"/>
      <c r="G72" s="99"/>
      <c r="H72" s="388"/>
      <c r="I72" s="99"/>
      <c r="J72" s="77"/>
      <c r="K72" s="77"/>
      <c r="L72" s="77"/>
      <c r="M72" s="77"/>
      <c r="N72" s="77"/>
      <c r="O72" s="77"/>
    </row>
    <row r="73" spans="1:15" ht="15" x14ac:dyDescent="0.25">
      <c r="A73" s="99"/>
      <c r="B73" s="99"/>
      <c r="C73" s="99"/>
      <c r="D73" s="99"/>
      <c r="E73" s="99"/>
      <c r="F73" s="99"/>
      <c r="G73" s="99"/>
      <c r="H73" s="388"/>
      <c r="I73" s="99"/>
      <c r="J73" s="77"/>
      <c r="K73" s="77"/>
      <c r="L73" s="77"/>
      <c r="M73" s="77"/>
      <c r="N73" s="77"/>
      <c r="O73" s="77"/>
    </row>
    <row r="74" spans="1:15" ht="15" x14ac:dyDescent="0.25">
      <c r="A74" s="99"/>
      <c r="B74" s="99"/>
      <c r="C74" s="99"/>
      <c r="D74" s="99"/>
      <c r="E74" s="99"/>
      <c r="F74" s="99"/>
      <c r="G74" s="99"/>
      <c r="H74" s="388"/>
      <c r="I74" s="99"/>
      <c r="J74" s="77"/>
      <c r="K74" s="77"/>
      <c r="L74" s="77"/>
      <c r="M74" s="77"/>
      <c r="N74" s="77"/>
      <c r="O74" s="77"/>
    </row>
    <row r="75" spans="1:15" ht="15" x14ac:dyDescent="0.25">
      <c r="A75" s="99"/>
      <c r="B75" s="99"/>
      <c r="C75" s="99"/>
      <c r="D75" s="99"/>
      <c r="E75" s="99"/>
      <c r="F75" s="99"/>
      <c r="G75" s="99"/>
      <c r="H75" s="388"/>
      <c r="I75" s="99"/>
      <c r="J75" s="77"/>
      <c r="K75" s="77"/>
      <c r="L75" s="77"/>
      <c r="M75" s="77"/>
      <c r="N75" s="77"/>
      <c r="O75" s="77"/>
    </row>
    <row r="76" spans="1:15" ht="15" x14ac:dyDescent="0.25">
      <c r="A76" s="99"/>
      <c r="B76" s="99"/>
      <c r="C76" s="99"/>
      <c r="D76" s="99"/>
      <c r="E76" s="99"/>
      <c r="F76" s="99"/>
      <c r="G76" s="99"/>
      <c r="H76" s="388"/>
      <c r="I76" s="99"/>
      <c r="J76" s="77"/>
      <c r="K76" s="77"/>
      <c r="L76" s="77"/>
      <c r="M76" s="77"/>
      <c r="N76" s="77"/>
      <c r="O76" s="77"/>
    </row>
    <row r="77" spans="1:15" ht="15" x14ac:dyDescent="0.25">
      <c r="A77" s="99"/>
      <c r="B77" s="99"/>
      <c r="C77" s="99"/>
      <c r="D77" s="99"/>
      <c r="E77" s="99"/>
      <c r="F77" s="99"/>
      <c r="G77" s="99"/>
      <c r="H77" s="388"/>
      <c r="I77" s="99"/>
      <c r="J77" s="77"/>
      <c r="K77" s="77"/>
      <c r="L77" s="77"/>
      <c r="M77" s="77"/>
      <c r="N77" s="77"/>
      <c r="O77" s="77"/>
    </row>
    <row r="78" spans="1:15" ht="15" x14ac:dyDescent="0.25">
      <c r="A78" s="99"/>
      <c r="B78" s="99"/>
      <c r="C78" s="99"/>
      <c r="D78" s="99"/>
      <c r="E78" s="99"/>
      <c r="F78" s="99"/>
      <c r="G78" s="99"/>
      <c r="H78" s="388"/>
      <c r="I78" s="99"/>
      <c r="J78" s="77"/>
      <c r="K78" s="77"/>
      <c r="L78" s="77"/>
      <c r="M78" s="77"/>
      <c r="N78" s="77"/>
      <c r="O78" s="77"/>
    </row>
    <row r="79" spans="1:15" ht="15" x14ac:dyDescent="0.25">
      <c r="A79" s="99"/>
      <c r="B79" s="99"/>
      <c r="C79" s="99"/>
      <c r="D79" s="99"/>
      <c r="E79" s="99"/>
      <c r="F79" s="99"/>
      <c r="G79" s="99"/>
      <c r="H79" s="388"/>
      <c r="I79" s="99"/>
      <c r="J79" s="77"/>
      <c r="K79" s="77"/>
      <c r="L79" s="77"/>
      <c r="M79" s="77"/>
      <c r="N79" s="77"/>
      <c r="O79" s="77"/>
    </row>
    <row r="80" spans="1:15" ht="15" x14ac:dyDescent="0.25">
      <c r="A80" s="99"/>
      <c r="B80" s="99"/>
      <c r="C80" s="99"/>
      <c r="D80" s="99"/>
      <c r="E80" s="99"/>
      <c r="F80" s="99"/>
      <c r="G80" s="99"/>
      <c r="H80" s="388"/>
      <c r="I80" s="99"/>
      <c r="J80" s="77"/>
      <c r="K80" s="77"/>
      <c r="L80" s="77"/>
      <c r="M80" s="77"/>
      <c r="N80" s="77"/>
      <c r="O80" s="77"/>
    </row>
    <row r="81" spans="1:15" ht="15" x14ac:dyDescent="0.25">
      <c r="A81" s="99"/>
      <c r="B81" s="99"/>
      <c r="C81" s="99"/>
      <c r="D81" s="99"/>
      <c r="E81" s="99"/>
      <c r="F81" s="99"/>
      <c r="G81" s="99"/>
      <c r="H81" s="388"/>
      <c r="I81" s="99"/>
      <c r="J81" s="77"/>
      <c r="K81" s="77"/>
      <c r="L81" s="77"/>
      <c r="M81" s="77"/>
      <c r="N81" s="77"/>
      <c r="O81" s="77"/>
    </row>
    <row r="82" spans="1:15" ht="15" x14ac:dyDescent="0.25">
      <c r="A82" s="99"/>
      <c r="B82" s="99"/>
      <c r="C82" s="99"/>
      <c r="D82" s="99"/>
      <c r="E82" s="99"/>
      <c r="F82" s="99"/>
      <c r="G82" s="99"/>
      <c r="H82" s="388"/>
      <c r="I82" s="99"/>
      <c r="J82" s="77"/>
      <c r="K82" s="77"/>
      <c r="L82" s="77"/>
      <c r="M82" s="77"/>
      <c r="N82" s="77"/>
      <c r="O82" s="77"/>
    </row>
    <row r="83" spans="1:15" ht="15" x14ac:dyDescent="0.25">
      <c r="A83" s="99"/>
      <c r="B83" s="99"/>
      <c r="C83" s="99"/>
      <c r="D83" s="99"/>
      <c r="E83" s="99"/>
      <c r="F83" s="99"/>
      <c r="G83" s="99"/>
      <c r="H83" s="388"/>
      <c r="I83" s="99"/>
      <c r="J83" s="77"/>
      <c r="K83" s="77"/>
      <c r="L83" s="77"/>
      <c r="M83" s="77"/>
      <c r="N83" s="77"/>
      <c r="O83" s="77"/>
    </row>
    <row r="84" spans="1:15" ht="15" x14ac:dyDescent="0.25">
      <c r="A84" s="99"/>
      <c r="B84" s="99"/>
      <c r="C84" s="99"/>
      <c r="D84" s="99"/>
      <c r="E84" s="99"/>
      <c r="F84" s="99"/>
      <c r="G84" s="99"/>
      <c r="H84" s="388"/>
      <c r="I84" s="99"/>
      <c r="J84" s="77"/>
      <c r="K84" s="77"/>
      <c r="L84" s="77"/>
      <c r="M84" s="77"/>
      <c r="N84" s="77"/>
      <c r="O84" s="77"/>
    </row>
    <row r="85" spans="1:15" ht="15" x14ac:dyDescent="0.25">
      <c r="A85" s="99"/>
      <c r="B85" s="99"/>
      <c r="C85" s="99"/>
      <c r="D85" s="99"/>
      <c r="E85" s="99"/>
      <c r="F85" s="99"/>
      <c r="G85" s="99"/>
      <c r="H85" s="388"/>
      <c r="I85" s="99"/>
      <c r="J85" s="77"/>
      <c r="K85" s="77"/>
      <c r="L85" s="77"/>
      <c r="M85" s="77"/>
      <c r="N85" s="77"/>
      <c r="O85" s="77"/>
    </row>
    <row r="86" spans="1:15" ht="15" x14ac:dyDescent="0.25">
      <c r="A86" s="99"/>
      <c r="B86" s="99"/>
      <c r="C86" s="99"/>
      <c r="D86" s="99"/>
      <c r="E86" s="99"/>
      <c r="F86" s="99"/>
      <c r="G86" s="99"/>
      <c r="H86" s="388"/>
      <c r="I86" s="99"/>
      <c r="J86" s="77"/>
      <c r="K86" s="77"/>
      <c r="L86" s="77"/>
      <c r="M86" s="77"/>
      <c r="N86" s="77"/>
      <c r="O86" s="77"/>
    </row>
    <row r="87" spans="1:15" ht="15" x14ac:dyDescent="0.25">
      <c r="A87" s="99"/>
      <c r="B87" s="99"/>
      <c r="C87" s="99"/>
      <c r="D87" s="99"/>
      <c r="E87" s="99"/>
      <c r="F87" s="99"/>
      <c r="G87" s="99"/>
      <c r="H87" s="388"/>
      <c r="I87" s="99"/>
      <c r="J87" s="77"/>
      <c r="K87" s="77"/>
      <c r="L87" s="77"/>
      <c r="M87" s="77"/>
      <c r="N87" s="77"/>
      <c r="O87" s="77"/>
    </row>
    <row r="88" spans="1:15" ht="15" x14ac:dyDescent="0.25">
      <c r="A88" s="99"/>
      <c r="B88" s="99"/>
      <c r="C88" s="99"/>
      <c r="D88" s="99"/>
      <c r="E88" s="99"/>
      <c r="F88" s="99"/>
      <c r="G88" s="99"/>
      <c r="H88" s="388"/>
      <c r="I88" s="99"/>
      <c r="J88" s="77"/>
      <c r="K88" s="77"/>
      <c r="L88" s="77"/>
      <c r="M88" s="77"/>
      <c r="N88" s="77"/>
      <c r="O88" s="77"/>
    </row>
    <row r="89" spans="1:15" ht="15" x14ac:dyDescent="0.25">
      <c r="A89" s="99"/>
      <c r="B89" s="99"/>
      <c r="C89" s="99"/>
      <c r="D89" s="99"/>
      <c r="E89" s="99"/>
      <c r="F89" s="99"/>
      <c r="G89" s="99"/>
      <c r="H89" s="388"/>
      <c r="I89" s="99"/>
      <c r="J89" s="77"/>
      <c r="K89" s="77"/>
      <c r="L89" s="77"/>
      <c r="M89" s="77"/>
      <c r="N89" s="77"/>
      <c r="O89" s="77"/>
    </row>
    <row r="90" spans="1:15" ht="15" x14ac:dyDescent="0.25">
      <c r="A90" s="99"/>
      <c r="B90" s="99"/>
      <c r="C90" s="99"/>
      <c r="D90" s="99"/>
      <c r="E90" s="99"/>
      <c r="F90" s="99"/>
      <c r="G90" s="99"/>
      <c r="H90" s="388"/>
      <c r="I90" s="99"/>
      <c r="J90" s="77"/>
      <c r="K90" s="77"/>
      <c r="L90" s="77"/>
      <c r="M90" s="77"/>
      <c r="N90" s="77"/>
      <c r="O90" s="77"/>
    </row>
    <row r="91" spans="1:15" ht="15" x14ac:dyDescent="0.25">
      <c r="A91" s="99"/>
      <c r="B91" s="99"/>
      <c r="C91" s="99"/>
      <c r="D91" s="99"/>
      <c r="E91" s="99"/>
      <c r="F91" s="99"/>
      <c r="G91" s="99"/>
      <c r="H91" s="388"/>
      <c r="I91" s="99"/>
      <c r="J91" s="77"/>
      <c r="K91" s="77"/>
      <c r="L91" s="77"/>
      <c r="M91" s="77"/>
      <c r="N91" s="77"/>
      <c r="O91" s="77"/>
    </row>
    <row r="92" spans="1:15" ht="15" x14ac:dyDescent="0.25">
      <c r="A92" s="99"/>
      <c r="B92" s="99"/>
      <c r="C92" s="99"/>
      <c r="D92" s="99"/>
      <c r="E92" s="99"/>
      <c r="F92" s="99"/>
      <c r="G92" s="99"/>
      <c r="H92" s="388"/>
      <c r="I92" s="99"/>
      <c r="J92" s="77"/>
      <c r="K92" s="77"/>
      <c r="L92" s="77"/>
      <c r="M92" s="77"/>
      <c r="N92" s="77"/>
      <c r="O92" s="77"/>
    </row>
    <row r="93" spans="1:15" ht="15" x14ac:dyDescent="0.25">
      <c r="A93" s="99"/>
      <c r="B93" s="99"/>
      <c r="C93" s="99"/>
      <c r="D93" s="99"/>
      <c r="E93" s="99"/>
      <c r="F93" s="99"/>
      <c r="G93" s="99"/>
      <c r="H93" s="388"/>
      <c r="I93" s="99"/>
      <c r="J93" s="77"/>
      <c r="K93" s="77"/>
      <c r="L93" s="77"/>
      <c r="M93" s="77"/>
      <c r="N93" s="77"/>
      <c r="O93" s="77"/>
    </row>
    <row r="94" spans="1:15" ht="15" x14ac:dyDescent="0.25">
      <c r="A94" s="99"/>
      <c r="B94" s="99"/>
      <c r="C94" s="99"/>
      <c r="D94" s="99"/>
      <c r="E94" s="99"/>
      <c r="F94" s="99"/>
      <c r="G94" s="99"/>
      <c r="H94" s="388"/>
      <c r="I94" s="99"/>
      <c r="J94" s="77"/>
      <c r="K94" s="77"/>
      <c r="L94" s="77"/>
      <c r="M94" s="77"/>
      <c r="N94" s="77"/>
      <c r="O94" s="77"/>
    </row>
    <row r="95" spans="1:15" ht="15" x14ac:dyDescent="0.25">
      <c r="A95" s="99"/>
      <c r="B95" s="99"/>
      <c r="C95" s="99"/>
      <c r="D95" s="99"/>
      <c r="E95" s="99"/>
      <c r="F95" s="99"/>
      <c r="G95" s="99"/>
      <c r="H95" s="388"/>
      <c r="I95" s="99"/>
      <c r="J95" s="77"/>
      <c r="K95" s="77"/>
      <c r="L95" s="77"/>
      <c r="M95" s="77"/>
      <c r="N95" s="77"/>
      <c r="O95" s="77"/>
    </row>
    <row r="96" spans="1:15" ht="15" x14ac:dyDescent="0.25">
      <c r="A96" s="99"/>
      <c r="B96" s="99"/>
      <c r="C96" s="99"/>
      <c r="D96" s="99"/>
      <c r="E96" s="99"/>
      <c r="F96" s="99"/>
      <c r="G96" s="99"/>
      <c r="H96" s="388"/>
      <c r="I96" s="99"/>
      <c r="J96" s="77"/>
      <c r="K96" s="77"/>
      <c r="L96" s="77"/>
      <c r="M96" s="77"/>
      <c r="N96" s="77"/>
      <c r="O96" s="77"/>
    </row>
    <row r="97" spans="1:15" ht="15" x14ac:dyDescent="0.25">
      <c r="A97" s="99"/>
      <c r="B97" s="99"/>
      <c r="C97" s="99"/>
      <c r="D97" s="99"/>
      <c r="E97" s="99"/>
      <c r="F97" s="99"/>
      <c r="G97" s="99"/>
      <c r="H97" s="388"/>
      <c r="I97" s="99"/>
      <c r="J97" s="77"/>
      <c r="K97" s="77"/>
      <c r="L97" s="77"/>
      <c r="M97" s="77"/>
      <c r="N97" s="77"/>
      <c r="O97" s="77"/>
    </row>
    <row r="98" spans="1:15" ht="15" x14ac:dyDescent="0.25">
      <c r="A98" s="99"/>
      <c r="B98" s="99"/>
      <c r="C98" s="99"/>
      <c r="D98" s="99"/>
      <c r="E98" s="99"/>
      <c r="F98" s="99"/>
      <c r="G98" s="99"/>
      <c r="H98" s="388"/>
      <c r="I98" s="99"/>
      <c r="J98" s="77"/>
      <c r="K98" s="77"/>
      <c r="L98" s="77"/>
      <c r="M98" s="77"/>
      <c r="N98" s="77"/>
      <c r="O98" s="77"/>
    </row>
    <row r="99" spans="1:15" ht="15" x14ac:dyDescent="0.25">
      <c r="A99" s="99"/>
      <c r="B99" s="99"/>
      <c r="C99" s="99"/>
      <c r="D99" s="99"/>
      <c r="E99" s="99"/>
      <c r="F99" s="99"/>
      <c r="G99" s="99"/>
      <c r="H99" s="388"/>
      <c r="I99" s="99"/>
      <c r="J99" s="77"/>
      <c r="K99" s="77"/>
      <c r="L99" s="77"/>
      <c r="M99" s="77"/>
      <c r="N99" s="77"/>
      <c r="O99" s="77"/>
    </row>
    <row r="100" spans="1:15" ht="15.6" thickBot="1" x14ac:dyDescent="0.3">
      <c r="A100" s="99"/>
      <c r="B100" s="99"/>
      <c r="C100" s="99"/>
      <c r="D100" s="99"/>
      <c r="E100" s="99"/>
      <c r="F100" s="99"/>
      <c r="G100" s="99"/>
      <c r="H100" s="388"/>
      <c r="I100" s="99"/>
      <c r="J100" s="77"/>
      <c r="K100" s="77"/>
      <c r="L100" s="77"/>
      <c r="M100" s="77"/>
      <c r="N100" s="77"/>
      <c r="O100" s="77"/>
    </row>
    <row r="101" spans="1:15" ht="15" x14ac:dyDescent="0.25">
      <c r="A101" s="894" t="s">
        <v>195</v>
      </c>
      <c r="B101" s="895"/>
      <c r="C101" s="895"/>
      <c r="D101" s="895"/>
      <c r="E101" s="895"/>
      <c r="F101" s="896"/>
      <c r="G101" s="99"/>
      <c r="H101" s="388"/>
      <c r="I101" s="99"/>
      <c r="J101" s="77"/>
      <c r="K101" s="77"/>
      <c r="L101" s="77"/>
      <c r="M101" s="77"/>
      <c r="N101" s="77"/>
      <c r="O101" s="77"/>
    </row>
    <row r="102" spans="1:15" ht="15.6" thickBot="1" x14ac:dyDescent="0.3">
      <c r="A102" s="897"/>
      <c r="B102" s="898"/>
      <c r="C102" s="898"/>
      <c r="D102" s="898"/>
      <c r="E102" s="898"/>
      <c r="F102" s="899"/>
      <c r="G102" s="99"/>
      <c r="H102" s="388"/>
      <c r="I102" s="99"/>
      <c r="J102" s="77"/>
      <c r="K102" s="77"/>
      <c r="L102" s="77"/>
      <c r="M102" s="77"/>
      <c r="N102" s="77"/>
      <c r="O102" s="77"/>
    </row>
    <row r="103" spans="1:15" ht="15" x14ac:dyDescent="0.25">
      <c r="A103" s="162" t="s">
        <v>5</v>
      </c>
      <c r="B103" s="161" t="s">
        <v>6</v>
      </c>
      <c r="C103" s="161" t="s">
        <v>13</v>
      </c>
      <c r="D103" s="161" t="s">
        <v>82</v>
      </c>
      <c r="E103" s="161" t="s">
        <v>115</v>
      </c>
      <c r="F103" s="163" t="s">
        <v>116</v>
      </c>
      <c r="G103" s="99"/>
      <c r="H103" s="388"/>
      <c r="I103" s="99"/>
      <c r="J103" s="77"/>
      <c r="K103" s="77"/>
      <c r="L103" s="77"/>
      <c r="M103" s="77"/>
      <c r="N103" s="77"/>
      <c r="O103" s="77"/>
    </row>
    <row r="104" spans="1:15" ht="15" x14ac:dyDescent="0.25">
      <c r="A104" s="396" t="s">
        <v>239</v>
      </c>
      <c r="B104" s="106"/>
      <c r="C104" s="106"/>
      <c r="D104" s="106"/>
      <c r="E104" s="106"/>
      <c r="F104" s="107"/>
      <c r="G104" s="99"/>
      <c r="H104" s="388"/>
      <c r="I104" s="99"/>
      <c r="J104" s="77"/>
      <c r="K104" s="77"/>
      <c r="L104" s="77"/>
      <c r="M104" s="77"/>
      <c r="N104" s="77"/>
      <c r="O104" s="77"/>
    </row>
    <row r="105" spans="1:15" ht="30" x14ac:dyDescent="0.25">
      <c r="A105" s="396" t="s">
        <v>91</v>
      </c>
      <c r="B105" s="106" t="s">
        <v>190</v>
      </c>
      <c r="C105" s="106" t="s">
        <v>18</v>
      </c>
      <c r="D105" s="106" t="s">
        <v>8</v>
      </c>
      <c r="E105" s="106" t="s">
        <v>36</v>
      </c>
      <c r="F105" s="107" t="s">
        <v>29</v>
      </c>
      <c r="G105" s="99"/>
      <c r="H105" s="388"/>
      <c r="I105" s="99"/>
      <c r="J105" s="77"/>
      <c r="K105" s="77"/>
      <c r="L105" s="77"/>
      <c r="M105" s="77"/>
      <c r="N105" s="77"/>
      <c r="O105" s="77"/>
    </row>
    <row r="106" spans="1:15" ht="30" x14ac:dyDescent="0.25">
      <c r="A106" s="397" t="s">
        <v>27</v>
      </c>
      <c r="B106" s="106" t="s">
        <v>192</v>
      </c>
      <c r="C106" s="106" t="s">
        <v>15</v>
      </c>
      <c r="D106" s="106" t="s">
        <v>84</v>
      </c>
      <c r="E106" s="106" t="s">
        <v>35</v>
      </c>
      <c r="F106" s="107" t="s">
        <v>28</v>
      </c>
      <c r="G106" s="99"/>
      <c r="H106" s="388"/>
      <c r="I106" s="99"/>
      <c r="J106" s="77"/>
      <c r="K106" s="77"/>
      <c r="L106" s="77"/>
      <c r="M106" s="77"/>
      <c r="N106" s="77"/>
      <c r="O106" s="77"/>
    </row>
    <row r="107" spans="1:15" ht="30" x14ac:dyDescent="0.25">
      <c r="A107" s="397" t="s">
        <v>125</v>
      </c>
      <c r="B107" s="106" t="s">
        <v>191</v>
      </c>
      <c r="C107" s="106" t="s">
        <v>16</v>
      </c>
      <c r="D107" s="106"/>
      <c r="E107" s="106" t="s">
        <v>46</v>
      </c>
      <c r="F107" s="107" t="s">
        <v>34</v>
      </c>
      <c r="G107" s="99"/>
      <c r="H107" s="388"/>
      <c r="I107" s="99"/>
      <c r="J107" s="77"/>
      <c r="K107" s="77"/>
      <c r="L107" s="77"/>
      <c r="M107" s="77"/>
      <c r="N107" s="77"/>
      <c r="O107" s="77"/>
    </row>
    <row r="108" spans="1:15" ht="15" x14ac:dyDescent="0.25">
      <c r="A108" s="396" t="s">
        <v>128</v>
      </c>
      <c r="B108" s="106" t="s">
        <v>193</v>
      </c>
      <c r="C108" s="106" t="s">
        <v>20</v>
      </c>
      <c r="D108" s="106"/>
      <c r="E108" s="106" t="s">
        <v>44</v>
      </c>
      <c r="F108" s="107" t="s">
        <v>142</v>
      </c>
      <c r="G108" s="99"/>
      <c r="H108" s="388"/>
      <c r="I108" s="99"/>
      <c r="J108" s="77"/>
      <c r="K108" s="77"/>
      <c r="L108" s="77"/>
      <c r="M108" s="77"/>
      <c r="N108" s="77"/>
      <c r="O108" s="77"/>
    </row>
    <row r="109" spans="1:15" ht="15" x14ac:dyDescent="0.25">
      <c r="A109" s="397" t="s">
        <v>326</v>
      </c>
      <c r="B109" s="106"/>
      <c r="C109" s="106" t="s">
        <v>19</v>
      </c>
      <c r="D109" s="106"/>
      <c r="E109" s="106" t="s">
        <v>37</v>
      </c>
      <c r="F109" s="107" t="s">
        <v>30</v>
      </c>
      <c r="G109" s="99"/>
      <c r="H109" s="388"/>
      <c r="I109" s="99"/>
      <c r="J109" s="77"/>
      <c r="K109" s="77"/>
      <c r="L109" s="77"/>
      <c r="M109" s="77"/>
      <c r="N109" s="77"/>
      <c r="O109" s="77"/>
    </row>
    <row r="110" spans="1:15" ht="30" x14ac:dyDescent="0.25">
      <c r="A110" s="396" t="s">
        <v>308</v>
      </c>
      <c r="B110" s="106"/>
      <c r="C110" s="106" t="s">
        <v>21</v>
      </c>
      <c r="D110" s="106"/>
      <c r="E110" s="106" t="s">
        <v>117</v>
      </c>
      <c r="F110" s="107" t="s">
        <v>121</v>
      </c>
      <c r="G110" s="99"/>
      <c r="H110" s="388"/>
      <c r="I110" s="99"/>
      <c r="J110" s="77"/>
      <c r="K110" s="77"/>
      <c r="L110" s="77"/>
      <c r="M110" s="77"/>
      <c r="N110" s="77"/>
      <c r="O110" s="77"/>
    </row>
    <row r="111" spans="1:15" ht="30" x14ac:dyDescent="0.25">
      <c r="A111" s="396" t="s">
        <v>309</v>
      </c>
      <c r="B111" s="106"/>
      <c r="C111" s="106" t="s">
        <v>14</v>
      </c>
      <c r="D111" s="106"/>
      <c r="E111" s="106" t="s">
        <v>42</v>
      </c>
      <c r="F111" s="107" t="s">
        <v>40</v>
      </c>
      <c r="G111" s="99"/>
      <c r="H111" s="388"/>
      <c r="I111" s="99"/>
      <c r="J111" s="77"/>
      <c r="K111" s="77"/>
      <c r="L111" s="77"/>
      <c r="M111" s="77"/>
      <c r="N111" s="77"/>
      <c r="O111" s="77"/>
    </row>
    <row r="112" spans="1:15" ht="30" x14ac:dyDescent="0.25">
      <c r="A112" s="396" t="s">
        <v>307</v>
      </c>
      <c r="B112" s="106"/>
      <c r="C112" s="106" t="s">
        <v>17</v>
      </c>
      <c r="D112" s="106"/>
      <c r="E112" s="106" t="s">
        <v>38</v>
      </c>
      <c r="F112" s="107" t="s">
        <v>31</v>
      </c>
      <c r="G112" s="99"/>
      <c r="H112" s="388"/>
      <c r="I112" s="99"/>
      <c r="J112" s="77"/>
      <c r="K112" s="77"/>
      <c r="L112" s="77"/>
      <c r="M112" s="77"/>
      <c r="N112" s="77"/>
      <c r="O112" s="77"/>
    </row>
    <row r="113" spans="1:15" ht="15" x14ac:dyDescent="0.25">
      <c r="A113" s="397" t="s">
        <v>4</v>
      </c>
      <c r="B113" s="106"/>
      <c r="C113" s="106"/>
      <c r="D113" s="106"/>
      <c r="E113" s="106" t="s">
        <v>41</v>
      </c>
      <c r="F113" s="107" t="s">
        <v>39</v>
      </c>
      <c r="G113" s="99"/>
      <c r="H113" s="388"/>
      <c r="I113" s="99"/>
      <c r="J113" s="77"/>
      <c r="K113" s="77"/>
      <c r="L113" s="77"/>
      <c r="M113" s="77"/>
      <c r="N113" s="77"/>
      <c r="O113" s="77"/>
    </row>
    <row r="114" spans="1:15" ht="15" x14ac:dyDescent="0.25">
      <c r="A114" s="397" t="s">
        <v>126</v>
      </c>
      <c r="B114" s="106"/>
      <c r="C114" s="106"/>
      <c r="D114" s="106"/>
      <c r="E114" s="106" t="s">
        <v>43</v>
      </c>
      <c r="F114" s="107" t="s">
        <v>120</v>
      </c>
      <c r="G114" s="99"/>
      <c r="H114" s="388"/>
      <c r="I114" s="99"/>
      <c r="J114" s="77"/>
      <c r="K114" s="77"/>
      <c r="L114" s="77"/>
      <c r="M114" s="77"/>
      <c r="N114" s="77"/>
      <c r="O114" s="77"/>
    </row>
    <row r="115" spans="1:15" x14ac:dyDescent="0.25">
      <c r="A115" s="2" t="s">
        <v>238</v>
      </c>
      <c r="B115" s="2"/>
      <c r="C115" s="2"/>
      <c r="D115" s="2"/>
      <c r="E115" s="2" t="s">
        <v>118</v>
      </c>
      <c r="F115" s="2" t="s">
        <v>122</v>
      </c>
      <c r="G115" s="2"/>
      <c r="H115" s="3"/>
      <c r="I115" s="2"/>
    </row>
    <row r="116" spans="1:15" x14ac:dyDescent="0.25">
      <c r="A116" s="2" t="s">
        <v>183</v>
      </c>
      <c r="B116" s="2"/>
      <c r="C116" s="2"/>
      <c r="D116" s="2"/>
      <c r="E116" s="2" t="s">
        <v>45</v>
      </c>
      <c r="F116" s="2" t="s">
        <v>32</v>
      </c>
      <c r="G116" s="2"/>
      <c r="H116" s="3"/>
      <c r="I116" s="2"/>
    </row>
    <row r="117" spans="1:15" ht="15" x14ac:dyDescent="0.25">
      <c r="A117" s="2"/>
      <c r="B117" s="2"/>
      <c r="C117" s="2"/>
      <c r="D117" s="2"/>
      <c r="E117" s="106" t="s">
        <v>142</v>
      </c>
      <c r="F117" s="2"/>
      <c r="G117" s="2"/>
      <c r="H117" s="3"/>
      <c r="I117" s="2"/>
    </row>
    <row r="118" spans="1:15" x14ac:dyDescent="0.25">
      <c r="A118" s="2"/>
      <c r="B118" s="2"/>
      <c r="C118" s="2"/>
      <c r="D118" s="2"/>
      <c r="E118" s="2"/>
      <c r="F118" s="2"/>
      <c r="G118" s="2"/>
      <c r="H118" s="3"/>
      <c r="I118" s="2"/>
    </row>
    <row r="119" spans="1:15" x14ac:dyDescent="0.25">
      <c r="A119" s="2"/>
      <c r="B119" s="2"/>
      <c r="C119" s="2"/>
      <c r="D119" s="2"/>
      <c r="E119" s="2"/>
      <c r="F119" s="2"/>
      <c r="G119" s="2"/>
      <c r="H119" s="3"/>
      <c r="I119" s="2"/>
    </row>
    <row r="120" spans="1:15" x14ac:dyDescent="0.25">
      <c r="A120" s="2"/>
      <c r="B120" s="2"/>
      <c r="C120" s="2"/>
      <c r="D120" s="2"/>
      <c r="E120" s="2"/>
      <c r="F120" s="2"/>
      <c r="G120" s="2"/>
      <c r="H120" s="3"/>
      <c r="I120" s="2"/>
    </row>
    <row r="121" spans="1:15" x14ac:dyDescent="0.25">
      <c r="A121" s="2"/>
      <c r="B121" s="2"/>
      <c r="C121" s="2"/>
      <c r="D121" s="2"/>
      <c r="E121" s="2"/>
      <c r="F121" s="2"/>
      <c r="G121" s="2"/>
      <c r="H121" s="3"/>
      <c r="I121" s="2"/>
    </row>
    <row r="122" spans="1:15" x14ac:dyDescent="0.25">
      <c r="A122" s="2"/>
      <c r="B122" s="2"/>
      <c r="C122" s="2"/>
      <c r="D122" s="2"/>
      <c r="E122" s="2"/>
      <c r="F122" s="2"/>
      <c r="G122" s="2"/>
      <c r="H122" s="3"/>
      <c r="I122" s="2"/>
    </row>
    <row r="123" spans="1:15" x14ac:dyDescent="0.25">
      <c r="A123" s="2"/>
      <c r="B123" s="2"/>
      <c r="C123" s="2"/>
      <c r="D123" s="2"/>
      <c r="E123" s="2"/>
      <c r="F123" s="2"/>
      <c r="G123" s="2"/>
      <c r="H123" s="3"/>
      <c r="I123" s="2"/>
    </row>
    <row r="124" spans="1:15" x14ac:dyDescent="0.25">
      <c r="A124" s="2"/>
      <c r="B124" s="2"/>
      <c r="C124" s="2"/>
      <c r="D124" s="2"/>
      <c r="E124" s="2"/>
      <c r="F124" s="2"/>
      <c r="G124" s="2"/>
      <c r="H124" s="3"/>
      <c r="I124" s="2"/>
    </row>
    <row r="125" spans="1:15" x14ac:dyDescent="0.25">
      <c r="A125" s="2"/>
      <c r="B125" s="2"/>
      <c r="C125" s="2"/>
      <c r="D125" s="2"/>
      <c r="E125" s="2"/>
      <c r="F125" s="2"/>
      <c r="G125" s="2"/>
      <c r="H125" s="3"/>
      <c r="I125" s="2"/>
    </row>
    <row r="126" spans="1:15" x14ac:dyDescent="0.25">
      <c r="A126" s="2"/>
      <c r="B126" s="2"/>
      <c r="C126" s="2"/>
      <c r="D126" s="2"/>
      <c r="E126" s="2"/>
      <c r="F126" s="2"/>
      <c r="G126" s="2"/>
      <c r="H126" s="3"/>
      <c r="I126" s="2"/>
    </row>
    <row r="127" spans="1:15" x14ac:dyDescent="0.25">
      <c r="A127" s="2"/>
      <c r="B127" s="2"/>
      <c r="C127" s="2"/>
      <c r="D127" s="2"/>
      <c r="E127" s="2"/>
      <c r="F127" s="2"/>
      <c r="G127" s="2"/>
      <c r="H127" s="3"/>
      <c r="I127" s="2"/>
    </row>
    <row r="128" spans="1:15" x14ac:dyDescent="0.25">
      <c r="A128" s="2"/>
      <c r="B128" s="2"/>
      <c r="C128" s="2"/>
      <c r="D128" s="2"/>
      <c r="E128" s="2"/>
      <c r="F128" s="2"/>
      <c r="G128" s="2"/>
      <c r="H128" s="3"/>
      <c r="I128" s="2"/>
    </row>
    <row r="129" spans="1:9" x14ac:dyDescent="0.25">
      <c r="A129" s="2"/>
      <c r="B129" s="2"/>
      <c r="C129" s="2"/>
      <c r="D129" s="2"/>
      <c r="E129" s="2"/>
      <c r="F129" s="2"/>
      <c r="G129" s="2"/>
      <c r="H129" s="3"/>
      <c r="I129" s="2"/>
    </row>
  </sheetData>
  <sheetProtection selectLockedCells="1"/>
  <mergeCells count="7">
    <mergeCell ref="A101:F102"/>
    <mergeCell ref="A1:O1"/>
    <mergeCell ref="A3:O3"/>
    <mergeCell ref="A11:O11"/>
    <mergeCell ref="A35:O35"/>
    <mergeCell ref="A47:O47"/>
    <mergeCell ref="A48:F48"/>
  </mergeCells>
  <dataValidations count="8">
    <dataValidation type="list" allowBlank="1" showInputMessage="1" showErrorMessage="1" sqref="F18 F5:F10 F37 F25:F31" xr:uid="{00000000-0002-0000-0900-000000000000}">
      <formula1>$E$110:$E$124</formula1>
    </dataValidation>
    <dataValidation type="list" allowBlank="1" showInputMessage="1" showErrorMessage="1" sqref="G5:G10 G14:G18 G37 G22:G31" xr:uid="{00000000-0002-0000-0900-000001000000}">
      <formula1>$C$110:$C$118</formula1>
    </dataValidation>
    <dataValidation type="list" allowBlank="1" showInputMessage="1" showErrorMessage="1" sqref="A5:A10 A37 A14:A18 A22:A31" xr:uid="{00000000-0002-0000-0900-000002000000}">
      <formula1>$D$110:$D$112</formula1>
    </dataValidation>
    <dataValidation type="list" allowBlank="1" showInputMessage="1" showErrorMessage="1" sqref="B5:B10 B22:B31 B14:B18 B37" xr:uid="{00000000-0002-0000-0900-000003000000}">
      <formula1>$B$110:$B$114</formula1>
    </dataValidation>
    <dataValidation type="list" allowBlank="1" showInputMessage="1" showErrorMessage="1" sqref="E5:E10 E22:E31 E37 E14:E18" xr:uid="{00000000-0002-0000-0900-000004000000}">
      <formula1>$F$110:$F$124</formula1>
    </dataValidation>
    <dataValidation type="list" allowBlank="1" showInputMessage="1" showErrorMessage="1" sqref="C22:D31 C14:D18 C37:D37 C5:D10" xr:uid="{00000000-0002-0000-0900-000005000000}">
      <formula1>$A$110:$A$122</formula1>
    </dataValidation>
    <dataValidation type="list" allowBlank="1" showInputMessage="1" showErrorMessage="1" sqref="E40 C39:D46" xr:uid="{00000000-0002-0000-0900-000006000000}">
      <formula1>#REF!</formula1>
    </dataValidation>
    <dataValidation type="list" allowBlank="1" showInputMessage="1" showErrorMessage="1" sqref="F21:F24 F14:F17" xr:uid="{00000000-0002-0000-0900-000007000000}">
      <formula1>$E$108:$E$124</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5"/>
  <dimension ref="A1:EA129"/>
  <sheetViews>
    <sheetView topLeftCell="A19" zoomScale="70" zoomScaleNormal="70" workbookViewId="0">
      <selection activeCell="DD94" sqref="DD94"/>
    </sheetView>
  </sheetViews>
  <sheetFormatPr defaultColWidth="8.77734375" defaultRowHeight="13.2" x14ac:dyDescent="0.25"/>
  <cols>
    <col min="1" max="15" width="26.44140625" customWidth="1"/>
  </cols>
  <sheetData>
    <row r="1" spans="1:131" ht="18" thickBot="1" x14ac:dyDescent="0.3">
      <c r="A1" s="900" t="s">
        <v>310</v>
      </c>
      <c r="B1" s="900"/>
      <c r="C1" s="900"/>
      <c r="D1" s="900"/>
      <c r="E1" s="900"/>
      <c r="F1" s="900"/>
      <c r="G1" s="900"/>
      <c r="H1" s="900"/>
      <c r="I1" s="900"/>
      <c r="J1" s="900"/>
      <c r="K1" s="900"/>
      <c r="L1" s="900"/>
      <c r="M1" s="900"/>
      <c r="N1" s="900"/>
      <c r="O1" s="900"/>
    </row>
    <row r="2" spans="1:131" ht="17.399999999999999" x14ac:dyDescent="0.25">
      <c r="A2" s="553" t="s">
        <v>188</v>
      </c>
      <c r="B2" s="175"/>
      <c r="C2" s="553"/>
      <c r="D2" s="553"/>
      <c r="E2" s="553"/>
      <c r="F2" s="553"/>
      <c r="G2" s="553"/>
      <c r="H2" s="381"/>
      <c r="I2" s="553"/>
      <c r="J2" s="399"/>
      <c r="K2" s="399"/>
      <c r="L2" s="399"/>
      <c r="M2" s="399"/>
      <c r="N2" s="399"/>
      <c r="O2" s="399"/>
    </row>
    <row r="3" spans="1:131" ht="15" x14ac:dyDescent="0.25">
      <c r="A3" s="901" t="s">
        <v>204</v>
      </c>
      <c r="B3" s="902"/>
      <c r="C3" s="902"/>
      <c r="D3" s="902"/>
      <c r="E3" s="902"/>
      <c r="F3" s="902"/>
      <c r="G3" s="902"/>
      <c r="H3" s="902"/>
      <c r="I3" s="902"/>
      <c r="J3" s="902"/>
      <c r="K3" s="902"/>
      <c r="L3" s="902"/>
      <c r="M3" s="902"/>
      <c r="N3" s="902"/>
      <c r="O3" s="903"/>
    </row>
    <row r="4" spans="1:131" ht="60" x14ac:dyDescent="0.25">
      <c r="A4" s="176" t="s">
        <v>89</v>
      </c>
      <c r="B4" s="176" t="s">
        <v>90</v>
      </c>
      <c r="C4" s="177" t="s">
        <v>0</v>
      </c>
      <c r="D4" s="177" t="s">
        <v>124</v>
      </c>
      <c r="E4" s="176" t="s">
        <v>143</v>
      </c>
      <c r="F4" s="176" t="s">
        <v>144</v>
      </c>
      <c r="G4" s="176" t="s">
        <v>13</v>
      </c>
      <c r="H4" s="382" t="s">
        <v>88</v>
      </c>
      <c r="I4" s="176" t="s">
        <v>12</v>
      </c>
      <c r="J4" s="400" t="s">
        <v>158</v>
      </c>
      <c r="K4" s="400" t="s">
        <v>148</v>
      </c>
      <c r="L4" s="400" t="s">
        <v>180</v>
      </c>
      <c r="M4" s="400" t="s">
        <v>104</v>
      </c>
      <c r="N4" s="400" t="s">
        <v>179</v>
      </c>
      <c r="O4" s="400" t="s">
        <v>205</v>
      </c>
    </row>
    <row r="5" spans="1:131" ht="30" x14ac:dyDescent="0.25">
      <c r="A5" s="482" t="s">
        <v>84</v>
      </c>
      <c r="B5" s="482" t="s">
        <v>3</v>
      </c>
      <c r="C5" s="482" t="s">
        <v>307</v>
      </c>
      <c r="D5" s="482" t="s">
        <v>307</v>
      </c>
      <c r="E5" s="327" t="s">
        <v>120</v>
      </c>
      <c r="F5" s="457" t="s">
        <v>45</v>
      </c>
      <c r="G5" s="482" t="s">
        <v>14</v>
      </c>
      <c r="H5" s="483">
        <v>44423</v>
      </c>
      <c r="I5" s="482" t="s">
        <v>23</v>
      </c>
      <c r="J5" s="350">
        <v>143.66999999999999</v>
      </c>
      <c r="K5" s="350">
        <f>'Mar14'!K5</f>
        <v>110.75</v>
      </c>
      <c r="L5" s="496">
        <f t="shared" ref="L5:L8" si="0">N5-M5</f>
        <v>11.668898970000001</v>
      </c>
      <c r="M5" s="350">
        <f t="shared" ref="M5:N8" si="1">-DZ5/1000000</f>
        <v>0.85500994999999991</v>
      </c>
      <c r="N5" s="350">
        <f t="shared" si="1"/>
        <v>12.52390892</v>
      </c>
      <c r="O5" s="88"/>
      <c r="DZ5">
        <v>-855009.95</v>
      </c>
      <c r="EA5">
        <v>-12523908.92</v>
      </c>
    </row>
    <row r="6" spans="1:131" ht="30" x14ac:dyDescent="0.25">
      <c r="A6" s="485" t="s">
        <v>84</v>
      </c>
      <c r="B6" s="485" t="s">
        <v>3</v>
      </c>
      <c r="C6" s="485" t="s">
        <v>307</v>
      </c>
      <c r="D6" s="485" t="s">
        <v>307</v>
      </c>
      <c r="E6" s="329" t="s">
        <v>120</v>
      </c>
      <c r="F6" s="457" t="s">
        <v>45</v>
      </c>
      <c r="G6" s="485" t="s">
        <v>14</v>
      </c>
      <c r="H6" s="93">
        <v>44576</v>
      </c>
      <c r="I6" s="485" t="s">
        <v>24</v>
      </c>
      <c r="J6" s="351">
        <v>27.4</v>
      </c>
      <c r="K6" s="351">
        <f>'Mar14'!K6</f>
        <v>23.6</v>
      </c>
      <c r="L6" s="497">
        <f t="shared" si="0"/>
        <v>3.0020739300000003</v>
      </c>
      <c r="M6" s="351">
        <f t="shared" si="1"/>
        <v>7.3139479999999993E-2</v>
      </c>
      <c r="N6" s="351">
        <f t="shared" si="1"/>
        <v>3.0752134100000004</v>
      </c>
      <c r="O6" s="96"/>
      <c r="DZ6">
        <v>-73139.48</v>
      </c>
      <c r="EA6">
        <v>-3075213.41</v>
      </c>
    </row>
    <row r="7" spans="1:131" ht="30" x14ac:dyDescent="0.25">
      <c r="A7" s="482" t="s">
        <v>84</v>
      </c>
      <c r="B7" s="482" t="s">
        <v>3</v>
      </c>
      <c r="C7" s="482" t="s">
        <v>308</v>
      </c>
      <c r="D7" s="482" t="s">
        <v>308</v>
      </c>
      <c r="E7" s="327" t="s">
        <v>39</v>
      </c>
      <c r="F7" s="457" t="s">
        <v>38</v>
      </c>
      <c r="G7" s="482" t="s">
        <v>14</v>
      </c>
      <c r="H7" s="483">
        <v>44576</v>
      </c>
      <c r="I7" s="482" t="s">
        <v>24</v>
      </c>
      <c r="J7" s="350">
        <v>26.85</v>
      </c>
      <c r="K7" s="350">
        <f>'Mar14'!K7</f>
        <v>23.18</v>
      </c>
      <c r="L7" s="496">
        <f t="shared" si="0"/>
        <v>2.9417500099999998</v>
      </c>
      <c r="M7" s="350">
        <f t="shared" si="1"/>
        <v>7.1822490000000003E-2</v>
      </c>
      <c r="N7" s="350">
        <f t="shared" si="1"/>
        <v>3.0135725</v>
      </c>
      <c r="O7" s="88"/>
      <c r="DZ7">
        <v>-71822.490000000005</v>
      </c>
      <c r="EA7">
        <v>-3013572.5</v>
      </c>
    </row>
    <row r="8" spans="1:131" ht="30" x14ac:dyDescent="0.25">
      <c r="A8" s="485" t="s">
        <v>84</v>
      </c>
      <c r="B8" s="485" t="s">
        <v>3</v>
      </c>
      <c r="C8" s="485" t="s">
        <v>309</v>
      </c>
      <c r="D8" s="485" t="s">
        <v>125</v>
      </c>
      <c r="E8" s="329" t="s">
        <v>40</v>
      </c>
      <c r="F8" s="458" t="s">
        <v>42</v>
      </c>
      <c r="G8" s="485" t="s">
        <v>14</v>
      </c>
      <c r="H8" s="93">
        <v>46296</v>
      </c>
      <c r="I8" s="485" t="s">
        <v>25</v>
      </c>
      <c r="J8" s="351">
        <v>40.880000000000003</v>
      </c>
      <c r="K8" s="351">
        <f>'Mar14'!K8</f>
        <v>35.590000000000003</v>
      </c>
      <c r="L8" s="497">
        <f t="shared" si="0"/>
        <v>4.3903740199999994</v>
      </c>
      <c r="M8" s="351">
        <f t="shared" si="1"/>
        <v>9.8408529999999994E-2</v>
      </c>
      <c r="N8" s="351">
        <f t="shared" si="1"/>
        <v>4.4887825499999998</v>
      </c>
      <c r="O8" s="96"/>
      <c r="DZ8">
        <v>-98408.53</v>
      </c>
      <c r="EA8">
        <v>-4488782.55</v>
      </c>
    </row>
    <row r="9" spans="1:131" ht="15" x14ac:dyDescent="0.25">
      <c r="A9" s="111"/>
      <c r="B9" s="111"/>
      <c r="C9" s="111"/>
      <c r="D9" s="111"/>
      <c r="E9" s="123"/>
      <c r="F9" s="111"/>
      <c r="G9" s="111"/>
      <c r="H9" s="114"/>
      <c r="I9" s="111"/>
      <c r="J9" s="352"/>
      <c r="K9" s="352"/>
      <c r="L9" s="352"/>
      <c r="M9" s="352"/>
      <c r="N9" s="353"/>
      <c r="O9" s="353"/>
    </row>
    <row r="10" spans="1:131" ht="15" x14ac:dyDescent="0.25">
      <c r="A10" s="485"/>
      <c r="B10" s="485"/>
      <c r="C10" s="485"/>
      <c r="D10" s="485"/>
      <c r="E10" s="329"/>
      <c r="F10" s="485"/>
      <c r="G10" s="485"/>
      <c r="H10" s="93"/>
      <c r="I10" s="485"/>
      <c r="J10" s="351"/>
      <c r="K10" s="351"/>
      <c r="L10" s="351"/>
      <c r="M10" s="351"/>
      <c r="N10" s="96"/>
      <c r="O10" s="96"/>
    </row>
    <row r="11" spans="1:131" ht="15" x14ac:dyDescent="0.25">
      <c r="A11" s="901" t="s">
        <v>203</v>
      </c>
      <c r="B11" s="902"/>
      <c r="C11" s="902"/>
      <c r="D11" s="902"/>
      <c r="E11" s="902"/>
      <c r="F11" s="902"/>
      <c r="G11" s="902"/>
      <c r="H11" s="902"/>
      <c r="I11" s="902"/>
      <c r="J11" s="902"/>
      <c r="K11" s="902"/>
      <c r="L11" s="902"/>
      <c r="M11" s="902"/>
      <c r="N11" s="902"/>
      <c r="O11" s="903"/>
    </row>
    <row r="12" spans="1:131" ht="60" x14ac:dyDescent="0.25">
      <c r="A12" s="176" t="s">
        <v>89</v>
      </c>
      <c r="B12" s="176" t="s">
        <v>90</v>
      </c>
      <c r="C12" s="177" t="s">
        <v>0</v>
      </c>
      <c r="D12" s="180" t="s">
        <v>124</v>
      </c>
      <c r="E12" s="176" t="s">
        <v>143</v>
      </c>
      <c r="F12" s="176" t="s">
        <v>144</v>
      </c>
      <c r="G12" s="176" t="s">
        <v>13</v>
      </c>
      <c r="H12" s="382" t="s">
        <v>88</v>
      </c>
      <c r="I12" s="176" t="s">
        <v>12</v>
      </c>
      <c r="J12" s="400" t="s">
        <v>150</v>
      </c>
      <c r="K12" s="400" t="s">
        <v>151</v>
      </c>
      <c r="L12" s="400" t="s">
        <v>157</v>
      </c>
      <c r="M12" s="400" t="s">
        <v>149</v>
      </c>
      <c r="N12" s="400" t="s">
        <v>179</v>
      </c>
      <c r="O12" s="400" t="s">
        <v>205</v>
      </c>
    </row>
    <row r="13" spans="1:131" ht="15" x14ac:dyDescent="0.25">
      <c r="A13" s="184" t="s">
        <v>197</v>
      </c>
      <c r="B13" s="184"/>
      <c r="C13" s="185"/>
      <c r="D13" s="185"/>
      <c r="E13" s="184"/>
      <c r="F13" s="184"/>
      <c r="G13" s="184"/>
      <c r="H13" s="383"/>
      <c r="I13" s="184"/>
      <c r="J13" s="403"/>
      <c r="K13" s="403"/>
      <c r="L13" s="403"/>
      <c r="M13" s="403"/>
      <c r="N13" s="403"/>
      <c r="O13" s="404"/>
    </row>
    <row r="14" spans="1:131" ht="30" x14ac:dyDescent="0.25">
      <c r="A14" s="482" t="s">
        <v>8</v>
      </c>
      <c r="B14" s="541" t="s">
        <v>7</v>
      </c>
      <c r="C14" s="482" t="s">
        <v>239</v>
      </c>
      <c r="D14" s="482" t="s">
        <v>238</v>
      </c>
      <c r="E14" s="327" t="s">
        <v>32</v>
      </c>
      <c r="F14" s="485" t="s">
        <v>117</v>
      </c>
      <c r="G14" s="482" t="s">
        <v>22</v>
      </c>
      <c r="H14" s="483">
        <v>41820</v>
      </c>
      <c r="I14" s="482" t="s">
        <v>132</v>
      </c>
      <c r="J14" s="88">
        <v>19.27</v>
      </c>
      <c r="K14" s="88">
        <v>-17.010000000000002</v>
      </c>
      <c r="L14" s="488">
        <v>2.259999999999998</v>
      </c>
      <c r="M14" s="88"/>
      <c r="N14" s="88"/>
      <c r="O14" s="88"/>
    </row>
    <row r="15" spans="1:131" ht="30" x14ac:dyDescent="0.25">
      <c r="A15" s="485" t="s">
        <v>8</v>
      </c>
      <c r="B15" s="485" t="s">
        <v>193</v>
      </c>
      <c r="C15" s="485" t="s">
        <v>239</v>
      </c>
      <c r="D15" s="485" t="s">
        <v>238</v>
      </c>
      <c r="E15" s="485" t="s">
        <v>32</v>
      </c>
      <c r="F15" s="485" t="s">
        <v>117</v>
      </c>
      <c r="G15" s="485" t="s">
        <v>22</v>
      </c>
      <c r="H15" s="385">
        <v>42185</v>
      </c>
      <c r="I15" s="485" t="s">
        <v>133</v>
      </c>
      <c r="J15" s="379">
        <v>13.19</v>
      </c>
      <c r="K15" s="379">
        <v>0</v>
      </c>
      <c r="L15" s="489">
        <v>13.19</v>
      </c>
      <c r="M15" s="379"/>
      <c r="N15" s="379"/>
      <c r="O15" s="379"/>
    </row>
    <row r="16" spans="1:131" ht="30" x14ac:dyDescent="0.25">
      <c r="A16" s="482" t="s">
        <v>8</v>
      </c>
      <c r="B16" s="482" t="s">
        <v>193</v>
      </c>
      <c r="C16" s="482" t="s">
        <v>239</v>
      </c>
      <c r="D16" s="482" t="s">
        <v>238</v>
      </c>
      <c r="E16" s="482" t="s">
        <v>32</v>
      </c>
      <c r="F16" s="485" t="s">
        <v>117</v>
      </c>
      <c r="G16" s="482" t="s">
        <v>22</v>
      </c>
      <c r="H16" s="386">
        <v>42551</v>
      </c>
      <c r="I16" s="482" t="s">
        <v>300</v>
      </c>
      <c r="J16" s="380">
        <v>1.0900000000000001</v>
      </c>
      <c r="K16" s="380">
        <v>0</v>
      </c>
      <c r="L16" s="488">
        <v>1.0900000000000001</v>
      </c>
      <c r="M16" s="380"/>
      <c r="N16" s="380"/>
      <c r="O16" s="380"/>
    </row>
    <row r="17" spans="1:15" ht="30" x14ac:dyDescent="0.25">
      <c r="A17" s="485" t="s">
        <v>8</v>
      </c>
      <c r="B17" s="485" t="s">
        <v>193</v>
      </c>
      <c r="C17" s="485" t="s">
        <v>239</v>
      </c>
      <c r="D17" s="485" t="s">
        <v>238</v>
      </c>
      <c r="E17" s="485" t="s">
        <v>32</v>
      </c>
      <c r="F17" s="485" t="s">
        <v>117</v>
      </c>
      <c r="G17" s="485" t="s">
        <v>22</v>
      </c>
      <c r="H17" s="385">
        <v>42916</v>
      </c>
      <c r="I17" s="485" t="s">
        <v>345</v>
      </c>
      <c r="J17" s="379">
        <v>0</v>
      </c>
      <c r="K17" s="379">
        <v>0</v>
      </c>
      <c r="L17" s="490">
        <v>0</v>
      </c>
      <c r="M17" s="379"/>
      <c r="N17" s="379"/>
      <c r="O17" s="379"/>
    </row>
    <row r="18" spans="1:15" ht="15" x14ac:dyDescent="0.25">
      <c r="A18" s="181"/>
      <c r="B18" s="181"/>
      <c r="C18" s="181"/>
      <c r="D18" s="181"/>
      <c r="E18" s="182"/>
      <c r="F18" s="181"/>
      <c r="G18" s="181"/>
      <c r="H18" s="183" t="s">
        <v>206</v>
      </c>
      <c r="I18" s="181"/>
      <c r="J18" s="354">
        <v>33.550000000000004</v>
      </c>
      <c r="K18" s="354">
        <v>-17.010000000000002</v>
      </c>
      <c r="L18" s="354">
        <v>16.54</v>
      </c>
      <c r="M18" s="354">
        <v>17.303190000000001</v>
      </c>
      <c r="N18" s="354">
        <v>-0.76319000000000004</v>
      </c>
      <c r="O18" s="354">
        <v>35</v>
      </c>
    </row>
    <row r="19" spans="1:15" ht="15" x14ac:dyDescent="0.25">
      <c r="A19" s="181" t="s">
        <v>295</v>
      </c>
      <c r="B19" s="181"/>
      <c r="C19" s="181"/>
      <c r="D19" s="181"/>
      <c r="E19" s="182"/>
      <c r="F19" s="181"/>
      <c r="G19" s="181"/>
      <c r="H19" s="183"/>
      <c r="I19" s="181"/>
      <c r="J19" s="354"/>
      <c r="K19" s="354"/>
      <c r="L19" s="354"/>
      <c r="M19" s="354"/>
      <c r="N19" s="354"/>
      <c r="O19" s="354"/>
    </row>
    <row r="20" spans="1:15" ht="15" x14ac:dyDescent="0.25">
      <c r="A20" s="184" t="s">
        <v>327</v>
      </c>
      <c r="B20" s="184"/>
      <c r="C20" s="185"/>
      <c r="D20" s="185"/>
      <c r="E20" s="184"/>
      <c r="F20" s="184"/>
      <c r="G20" s="184"/>
      <c r="H20" s="383"/>
      <c r="I20" s="184"/>
      <c r="J20" s="459"/>
      <c r="K20" s="459"/>
      <c r="L20" s="459"/>
      <c r="M20" s="459"/>
      <c r="N20" s="459"/>
      <c r="O20" s="186"/>
    </row>
    <row r="21" spans="1:15" ht="30" x14ac:dyDescent="0.25">
      <c r="A21" s="482" t="s">
        <v>8</v>
      </c>
      <c r="B21" s="482" t="s">
        <v>7</v>
      </c>
      <c r="C21" s="482" t="s">
        <v>27</v>
      </c>
      <c r="D21" s="482" t="s">
        <v>127</v>
      </c>
      <c r="E21" s="327" t="s">
        <v>33</v>
      </c>
      <c r="F21" s="485" t="s">
        <v>117</v>
      </c>
      <c r="G21" s="482" t="s">
        <v>22</v>
      </c>
      <c r="H21" s="483">
        <v>41820</v>
      </c>
      <c r="I21" s="482" t="s">
        <v>138</v>
      </c>
      <c r="J21" s="88">
        <v>0.92112859999999996</v>
      </c>
      <c r="K21" s="88">
        <v>-0.92112859999999996</v>
      </c>
      <c r="L21" s="488">
        <v>0</v>
      </c>
      <c r="M21" s="486"/>
      <c r="N21" s="486"/>
      <c r="O21" s="486"/>
    </row>
    <row r="22" spans="1:15" ht="30" x14ac:dyDescent="0.25">
      <c r="A22" s="482" t="s">
        <v>8</v>
      </c>
      <c r="B22" s="485" t="s">
        <v>7</v>
      </c>
      <c r="C22" s="485" t="s">
        <v>27</v>
      </c>
      <c r="D22" s="485" t="s">
        <v>127</v>
      </c>
      <c r="E22" s="485" t="s">
        <v>33</v>
      </c>
      <c r="F22" s="485" t="s">
        <v>117</v>
      </c>
      <c r="G22" s="485" t="s">
        <v>22</v>
      </c>
      <c r="H22" s="385">
        <v>42185</v>
      </c>
      <c r="I22" s="485" t="s">
        <v>139</v>
      </c>
      <c r="J22" s="379"/>
      <c r="K22" s="379"/>
      <c r="L22" s="489">
        <v>0</v>
      </c>
      <c r="M22" s="484"/>
      <c r="N22" s="484"/>
      <c r="O22" s="484"/>
    </row>
    <row r="23" spans="1:15" ht="30" x14ac:dyDescent="0.25">
      <c r="A23" s="482" t="s">
        <v>8</v>
      </c>
      <c r="B23" s="482" t="s">
        <v>7</v>
      </c>
      <c r="C23" s="482" t="s">
        <v>27</v>
      </c>
      <c r="D23" s="482" t="s">
        <v>127</v>
      </c>
      <c r="E23" s="482" t="s">
        <v>33</v>
      </c>
      <c r="F23" s="485" t="s">
        <v>117</v>
      </c>
      <c r="G23" s="482" t="s">
        <v>22</v>
      </c>
      <c r="H23" s="386">
        <v>42551</v>
      </c>
      <c r="I23" s="482" t="s">
        <v>301</v>
      </c>
      <c r="J23" s="380"/>
      <c r="K23" s="380"/>
      <c r="L23" s="488">
        <v>0</v>
      </c>
      <c r="M23" s="487"/>
      <c r="N23" s="487"/>
      <c r="O23" s="487"/>
    </row>
    <row r="24" spans="1:15" ht="30" x14ac:dyDescent="0.25">
      <c r="A24" s="482" t="s">
        <v>8</v>
      </c>
      <c r="B24" s="485" t="s">
        <v>7</v>
      </c>
      <c r="C24" s="485" t="s">
        <v>27</v>
      </c>
      <c r="D24" s="485" t="s">
        <v>127</v>
      </c>
      <c r="E24" s="485" t="s">
        <v>33</v>
      </c>
      <c r="F24" s="485" t="s">
        <v>117</v>
      </c>
      <c r="G24" s="485" t="s">
        <v>22</v>
      </c>
      <c r="H24" s="385">
        <v>42916</v>
      </c>
      <c r="I24" s="485" t="s">
        <v>346</v>
      </c>
      <c r="J24" s="379"/>
      <c r="K24" s="379"/>
      <c r="L24" s="490">
        <v>0</v>
      </c>
      <c r="M24" s="484"/>
      <c r="N24" s="484"/>
      <c r="O24" s="484"/>
    </row>
    <row r="25" spans="1:15" ht="15" x14ac:dyDescent="0.25">
      <c r="A25" s="181" t="s">
        <v>324</v>
      </c>
      <c r="B25" s="181"/>
      <c r="C25" s="181"/>
      <c r="D25" s="181"/>
      <c r="E25" s="182"/>
      <c r="F25" s="181"/>
      <c r="G25" s="181"/>
      <c r="H25" s="183" t="s">
        <v>206</v>
      </c>
      <c r="I25" s="181"/>
      <c r="J25" s="354">
        <v>0.92112859999999996</v>
      </c>
      <c r="K25" s="354">
        <v>-0.92112859999999996</v>
      </c>
      <c r="L25" s="354">
        <v>0</v>
      </c>
      <c r="M25" s="354">
        <v>1.7952399999999875E-4</v>
      </c>
      <c r="N25" s="354">
        <v>-1.7952399999999875E-4</v>
      </c>
      <c r="O25" s="354"/>
    </row>
    <row r="26" spans="1:15" ht="15" x14ac:dyDescent="0.25">
      <c r="A26" s="181"/>
      <c r="B26" s="181"/>
      <c r="C26" s="181"/>
      <c r="D26" s="181"/>
      <c r="E26" s="182"/>
      <c r="F26" s="181"/>
      <c r="G26" s="181"/>
      <c r="H26" s="183"/>
      <c r="I26" s="181"/>
      <c r="J26" s="354"/>
      <c r="K26" s="354"/>
      <c r="L26" s="354"/>
      <c r="M26" s="354"/>
      <c r="N26" s="354"/>
      <c r="O26" s="354"/>
    </row>
    <row r="27" spans="1:15" ht="15" x14ac:dyDescent="0.25">
      <c r="A27" s="184" t="s">
        <v>328</v>
      </c>
      <c r="B27" s="184"/>
      <c r="C27" s="185"/>
      <c r="D27" s="185"/>
      <c r="E27" s="184"/>
      <c r="F27" s="184"/>
      <c r="G27" s="184"/>
      <c r="H27" s="383"/>
      <c r="I27" s="184"/>
      <c r="J27" s="459"/>
      <c r="K27" s="459"/>
      <c r="L27" s="459"/>
      <c r="M27" s="459"/>
      <c r="N27" s="459"/>
      <c r="O27" s="186"/>
    </row>
    <row r="28" spans="1:15" ht="30" x14ac:dyDescent="0.25">
      <c r="A28" s="482" t="s">
        <v>8</v>
      </c>
      <c r="B28" s="482" t="s">
        <v>7</v>
      </c>
      <c r="C28" s="482" t="s">
        <v>92</v>
      </c>
      <c r="D28" s="482" t="s">
        <v>128</v>
      </c>
      <c r="E28" s="327" t="s">
        <v>33</v>
      </c>
      <c r="F28" s="327" t="s">
        <v>45</v>
      </c>
      <c r="G28" s="482" t="s">
        <v>22</v>
      </c>
      <c r="H28" s="483">
        <v>41820</v>
      </c>
      <c r="I28" s="482" t="s">
        <v>138</v>
      </c>
      <c r="J28" s="88">
        <v>3.32167952</v>
      </c>
      <c r="K28" s="88">
        <v>-2.5224939200000001</v>
      </c>
      <c r="L28" s="488">
        <v>0.79918559999999994</v>
      </c>
      <c r="M28" s="379"/>
      <c r="N28" s="379"/>
      <c r="O28" s="379"/>
    </row>
    <row r="29" spans="1:15" ht="30" x14ac:dyDescent="0.25">
      <c r="A29" s="485" t="s">
        <v>8</v>
      </c>
      <c r="B29" s="485" t="s">
        <v>7</v>
      </c>
      <c r="C29" s="485" t="s">
        <v>92</v>
      </c>
      <c r="D29" s="485" t="s">
        <v>128</v>
      </c>
      <c r="E29" s="485" t="s">
        <v>33</v>
      </c>
      <c r="F29" s="485" t="s">
        <v>45</v>
      </c>
      <c r="G29" s="485" t="s">
        <v>22</v>
      </c>
      <c r="H29" s="385">
        <v>42185</v>
      </c>
      <c r="I29" s="485" t="s">
        <v>139</v>
      </c>
      <c r="J29" s="379">
        <v>1.5495680000000001</v>
      </c>
      <c r="K29" s="379">
        <v>0</v>
      </c>
      <c r="L29" s="489">
        <v>1.5495680000000001</v>
      </c>
      <c r="M29" s="380"/>
      <c r="N29" s="380"/>
      <c r="O29" s="380"/>
    </row>
    <row r="30" spans="1:15" ht="30" x14ac:dyDescent="0.25">
      <c r="A30" s="482" t="s">
        <v>8</v>
      </c>
      <c r="B30" s="482" t="s">
        <v>7</v>
      </c>
      <c r="C30" s="482" t="s">
        <v>92</v>
      </c>
      <c r="D30" s="482" t="s">
        <v>128</v>
      </c>
      <c r="E30" s="482" t="s">
        <v>33</v>
      </c>
      <c r="F30" s="482" t="s">
        <v>45</v>
      </c>
      <c r="G30" s="482" t="s">
        <v>22</v>
      </c>
      <c r="H30" s="386">
        <v>42551</v>
      </c>
      <c r="I30" s="482" t="s">
        <v>301</v>
      </c>
      <c r="J30" s="380">
        <v>0.72236800000000001</v>
      </c>
      <c r="K30" s="380">
        <v>0</v>
      </c>
      <c r="L30" s="488">
        <v>0.72236800000000001</v>
      </c>
      <c r="M30" s="379"/>
      <c r="N30" s="379"/>
      <c r="O30" s="379"/>
    </row>
    <row r="31" spans="1:15" ht="30" x14ac:dyDescent="0.25">
      <c r="A31" s="485" t="s">
        <v>8</v>
      </c>
      <c r="B31" s="485" t="s">
        <v>7</v>
      </c>
      <c r="C31" s="485" t="s">
        <v>92</v>
      </c>
      <c r="D31" s="485" t="s">
        <v>128</v>
      </c>
      <c r="E31" s="485" t="s">
        <v>33</v>
      </c>
      <c r="F31" s="485" t="s">
        <v>45</v>
      </c>
      <c r="G31" s="485" t="s">
        <v>22</v>
      </c>
      <c r="H31" s="385">
        <v>42916</v>
      </c>
      <c r="I31" s="485" t="s">
        <v>346</v>
      </c>
      <c r="J31" s="379">
        <v>0</v>
      </c>
      <c r="K31" s="379">
        <v>0</v>
      </c>
      <c r="L31" s="490">
        <v>0</v>
      </c>
      <c r="M31" s="380"/>
      <c r="N31" s="380"/>
      <c r="O31" s="380"/>
    </row>
    <row r="32" spans="1:15" ht="15" x14ac:dyDescent="0.25">
      <c r="A32" s="181" t="s">
        <v>325</v>
      </c>
      <c r="B32" s="181"/>
      <c r="C32" s="181"/>
      <c r="D32" s="181"/>
      <c r="E32" s="182"/>
      <c r="F32" s="181"/>
      <c r="G32" s="181"/>
      <c r="H32" s="183" t="s">
        <v>206</v>
      </c>
      <c r="I32" s="181"/>
      <c r="J32" s="354">
        <v>5.5936155200000002</v>
      </c>
      <c r="K32" s="354">
        <v>-2.5224939200000001</v>
      </c>
      <c r="L32" s="354">
        <v>3.0711216000000001</v>
      </c>
      <c r="M32" s="354">
        <v>3.8206413200000005</v>
      </c>
      <c r="N32" s="354">
        <v>-0.74951972000000033</v>
      </c>
      <c r="O32" s="354"/>
    </row>
    <row r="33" spans="1:15" ht="30" x14ac:dyDescent="0.25">
      <c r="A33" s="181" t="s">
        <v>331</v>
      </c>
      <c r="B33" s="181"/>
      <c r="C33" s="181"/>
      <c r="D33" s="181"/>
      <c r="E33" s="182"/>
      <c r="F33" s="181"/>
      <c r="G33" s="181"/>
      <c r="H33" s="183"/>
      <c r="I33" s="181"/>
      <c r="J33" s="354">
        <f>J32 + J25</f>
        <v>6.5147441200000005</v>
      </c>
      <c r="K33" s="354">
        <f>K32 + K25</f>
        <v>-3.4436225199999999</v>
      </c>
      <c r="L33" s="354">
        <f>L32 + L25</f>
        <v>3.0711216000000001</v>
      </c>
      <c r="M33" s="354">
        <f>M32 + M25</f>
        <v>3.8208208440000004</v>
      </c>
      <c r="N33" s="354">
        <f>IF(AND(N32&gt;0, N25&gt;0),N32 + N25,IF(AND(N32&gt;0, N25&lt;=0),N32,IF(AND(N32&lt;0, N25&gt;=0), N25,0)))</f>
        <v>0</v>
      </c>
      <c r="O33" s="354"/>
    </row>
    <row r="34" spans="1:15" ht="15" x14ac:dyDescent="0.25">
      <c r="A34" s="184" t="s">
        <v>298</v>
      </c>
      <c r="B34" s="184"/>
      <c r="C34" s="185"/>
      <c r="D34" s="185"/>
      <c r="E34" s="184"/>
      <c r="F34" s="184"/>
      <c r="G34" s="184"/>
      <c r="H34" s="383"/>
      <c r="I34" s="184"/>
      <c r="J34" s="403"/>
      <c r="K34" s="403"/>
      <c r="L34" s="403"/>
      <c r="M34" s="403"/>
      <c r="N34" s="403"/>
      <c r="O34" s="404"/>
    </row>
    <row r="35" spans="1:15" ht="15" x14ac:dyDescent="0.25">
      <c r="A35" s="901" t="s">
        <v>325</v>
      </c>
      <c r="B35" s="902"/>
      <c r="C35" s="902"/>
      <c r="D35" s="902"/>
      <c r="E35" s="902"/>
      <c r="F35" s="902"/>
      <c r="G35" s="902"/>
      <c r="H35" s="902"/>
      <c r="I35" s="902"/>
      <c r="J35" s="902"/>
      <c r="K35" s="902"/>
      <c r="L35" s="902"/>
      <c r="M35" s="902"/>
      <c r="N35" s="902"/>
      <c r="O35" s="903"/>
    </row>
    <row r="36" spans="1:15" ht="60" x14ac:dyDescent="0.25">
      <c r="A36" s="176" t="s">
        <v>89</v>
      </c>
      <c r="B36" s="176" t="s">
        <v>90</v>
      </c>
      <c r="C36" s="177" t="s">
        <v>0</v>
      </c>
      <c r="D36" s="177" t="s">
        <v>124</v>
      </c>
      <c r="E36" s="176" t="s">
        <v>143</v>
      </c>
      <c r="F36" s="176" t="s">
        <v>144</v>
      </c>
      <c r="G36" s="176" t="s">
        <v>13</v>
      </c>
      <c r="H36" s="382" t="s">
        <v>88</v>
      </c>
      <c r="I36" s="176" t="s">
        <v>12</v>
      </c>
      <c r="J36" s="400" t="s">
        <v>200</v>
      </c>
      <c r="K36" s="400" t="s">
        <v>199</v>
      </c>
      <c r="L36" s="400" t="s">
        <v>201</v>
      </c>
      <c r="M36" s="400" t="s">
        <v>149</v>
      </c>
      <c r="N36" s="400" t="s">
        <v>179</v>
      </c>
      <c r="O36" s="400" t="s">
        <v>304</v>
      </c>
    </row>
    <row r="37" spans="1:15" ht="30" x14ac:dyDescent="0.25">
      <c r="A37" s="485" t="s">
        <v>84</v>
      </c>
      <c r="B37" s="485" t="s">
        <v>9</v>
      </c>
      <c r="C37" s="485" t="s">
        <v>183</v>
      </c>
      <c r="D37" s="485" t="s">
        <v>142</v>
      </c>
      <c r="E37" s="329" t="s">
        <v>142</v>
      </c>
      <c r="F37" s="485" t="s">
        <v>142</v>
      </c>
      <c r="G37" s="485" t="s">
        <v>22</v>
      </c>
      <c r="H37" s="93">
        <v>41449</v>
      </c>
      <c r="I37" s="485" t="s">
        <v>172</v>
      </c>
      <c r="J37" s="96">
        <v>7.0349999999999996E-2</v>
      </c>
      <c r="K37" s="96" t="s">
        <v>299</v>
      </c>
      <c r="L37" s="292">
        <v>7.0349999999999996E-2</v>
      </c>
      <c r="M37" s="292">
        <f>+O37*50000/1000000</f>
        <v>6.6104999999999997E-2</v>
      </c>
      <c r="N37" s="292">
        <f>M37-L37</f>
        <v>-4.2449999999999988E-3</v>
      </c>
      <c r="O37" s="486">
        <v>1.3221000000000001</v>
      </c>
    </row>
    <row r="38" spans="1:15" ht="30" x14ac:dyDescent="0.25">
      <c r="A38" s="111" t="s">
        <v>297</v>
      </c>
      <c r="B38" s="99"/>
      <c r="C38" s="2"/>
      <c r="D38" s="2"/>
      <c r="E38" s="2"/>
      <c r="F38" s="2"/>
      <c r="G38" s="2"/>
      <c r="H38" s="3"/>
      <c r="I38" s="2"/>
      <c r="J38" s="293"/>
      <c r="K38" s="293"/>
      <c r="L38" s="491">
        <f>L37</f>
        <v>7.0349999999999996E-2</v>
      </c>
      <c r="M38" s="144"/>
      <c r="N38" s="491">
        <f>IF(N37&gt;0,N37,0)</f>
        <v>0</v>
      </c>
      <c r="O38" s="144"/>
    </row>
    <row r="39" spans="1:15" ht="15" x14ac:dyDescent="0.25">
      <c r="A39" s="99"/>
      <c r="B39" s="99"/>
      <c r="C39" s="99"/>
      <c r="D39" s="99"/>
      <c r="E39" s="99"/>
      <c r="F39" s="99"/>
      <c r="G39" s="99"/>
      <c r="H39" s="388"/>
      <c r="I39" s="99"/>
      <c r="J39" s="144"/>
      <c r="K39" s="144"/>
      <c r="L39" s="144"/>
      <c r="M39" s="144"/>
      <c r="N39" s="144"/>
      <c r="O39" s="144"/>
    </row>
    <row r="40" spans="1:15" ht="15" x14ac:dyDescent="0.25">
      <c r="A40" s="99"/>
      <c r="B40" s="99"/>
      <c r="C40" s="99"/>
      <c r="D40" s="99"/>
      <c r="E40" s="99"/>
      <c r="F40" s="99"/>
      <c r="G40" s="99"/>
      <c r="H40" s="388"/>
      <c r="I40" s="99"/>
      <c r="J40" s="77"/>
      <c r="K40" s="144"/>
      <c r="L40" s="144"/>
      <c r="M40" s="77"/>
      <c r="N40" s="77"/>
      <c r="O40" s="77"/>
    </row>
    <row r="41" spans="1:15" ht="15" x14ac:dyDescent="0.25">
      <c r="A41" s="99"/>
      <c r="B41" s="99"/>
      <c r="C41" s="99"/>
      <c r="D41" s="99"/>
      <c r="E41" s="99"/>
      <c r="F41" s="99"/>
      <c r="G41" s="99"/>
      <c r="H41" s="388"/>
      <c r="I41" s="99"/>
      <c r="J41" s="77"/>
      <c r="K41" s="77"/>
      <c r="L41" s="77"/>
      <c r="M41" s="77"/>
      <c r="N41" s="77"/>
      <c r="O41" s="77"/>
    </row>
    <row r="42" spans="1:15" ht="15" x14ac:dyDescent="0.25">
      <c r="A42" s="99"/>
      <c r="B42" s="99"/>
      <c r="C42" s="99"/>
      <c r="D42" s="99"/>
      <c r="E42" s="99"/>
      <c r="F42" s="99"/>
      <c r="G42" s="99"/>
      <c r="H42" s="388"/>
      <c r="I42" s="99"/>
      <c r="J42" s="77"/>
      <c r="K42" s="77"/>
      <c r="L42" s="77"/>
      <c r="M42" s="77"/>
      <c r="N42" s="77"/>
      <c r="O42" s="77"/>
    </row>
    <row r="43" spans="1:15" ht="15" x14ac:dyDescent="0.25">
      <c r="A43" s="99"/>
      <c r="B43" s="99"/>
      <c r="C43" s="99"/>
      <c r="D43" s="99"/>
      <c r="E43" s="99"/>
      <c r="F43" s="99"/>
      <c r="G43" s="99"/>
      <c r="H43" s="388"/>
      <c r="I43" s="99"/>
      <c r="J43" s="77"/>
      <c r="K43" s="77"/>
      <c r="L43" s="77"/>
      <c r="M43" s="77"/>
      <c r="N43" s="77"/>
      <c r="O43" s="77"/>
    </row>
    <row r="44" spans="1:15" ht="15" x14ac:dyDescent="0.25">
      <c r="A44" s="99"/>
      <c r="B44" s="99"/>
      <c r="C44" s="99"/>
      <c r="D44" s="99"/>
      <c r="E44" s="99"/>
      <c r="F44" s="99"/>
      <c r="G44" s="99"/>
      <c r="H44" s="388"/>
      <c r="I44" s="99"/>
      <c r="J44" s="77"/>
      <c r="K44" s="77"/>
      <c r="L44" s="77"/>
      <c r="M44" s="77"/>
      <c r="N44" s="77"/>
      <c r="O44" s="77"/>
    </row>
    <row r="45" spans="1:15" ht="15" x14ac:dyDescent="0.25">
      <c r="A45" s="99"/>
      <c r="B45" s="99"/>
      <c r="C45" s="99"/>
      <c r="D45" s="99"/>
      <c r="E45" s="99"/>
      <c r="F45" s="99"/>
      <c r="G45" s="99"/>
      <c r="H45" s="388"/>
      <c r="I45" s="99"/>
      <c r="J45" s="77"/>
      <c r="K45" s="77"/>
      <c r="L45" s="77"/>
      <c r="M45" s="77"/>
      <c r="N45" s="77"/>
      <c r="O45" s="77"/>
    </row>
    <row r="46" spans="1:15" ht="15" x14ac:dyDescent="0.25">
      <c r="A46" s="99"/>
      <c r="B46" s="99"/>
      <c r="C46" s="99"/>
      <c r="D46" s="99"/>
      <c r="E46" s="99"/>
      <c r="F46" s="99"/>
      <c r="G46" s="99"/>
      <c r="H46" s="388"/>
      <c r="I46" s="99"/>
      <c r="J46" s="77"/>
      <c r="K46" s="77"/>
      <c r="L46" s="77"/>
      <c r="M46" s="77"/>
      <c r="N46" s="77"/>
      <c r="O46" s="77"/>
    </row>
    <row r="47" spans="1:15" ht="15.6" thickBot="1" x14ac:dyDescent="0.3">
      <c r="A47" s="904"/>
      <c r="B47" s="904"/>
      <c r="C47" s="904"/>
      <c r="D47" s="904"/>
      <c r="E47" s="904"/>
      <c r="F47" s="904"/>
      <c r="G47" s="904"/>
      <c r="H47" s="904"/>
      <c r="I47" s="904"/>
      <c r="J47" s="904"/>
      <c r="K47" s="904"/>
      <c r="L47" s="904"/>
      <c r="M47" s="904"/>
      <c r="N47" s="904"/>
      <c r="O47" s="904"/>
    </row>
    <row r="48" spans="1:15" ht="15.6" x14ac:dyDescent="0.3">
      <c r="A48" s="905"/>
      <c r="B48" s="905"/>
      <c r="C48" s="905"/>
      <c r="D48" s="905"/>
      <c r="E48" s="905"/>
      <c r="F48" s="905"/>
      <c r="G48" s="99"/>
      <c r="H48" s="388"/>
      <c r="I48" s="99"/>
      <c r="J48" s="77"/>
      <c r="K48" s="77"/>
      <c r="L48" s="77"/>
      <c r="M48" s="77"/>
      <c r="N48" s="77"/>
      <c r="O48" s="77"/>
    </row>
    <row r="49" spans="1:15" ht="15.6" x14ac:dyDescent="0.3">
      <c r="A49" s="202"/>
      <c r="B49" s="203"/>
      <c r="C49" s="203"/>
      <c r="D49" s="202"/>
      <c r="E49" s="202"/>
      <c r="F49" s="202"/>
      <c r="G49" s="99"/>
      <c r="H49" s="384"/>
      <c r="I49" s="99"/>
      <c r="J49" s="77"/>
      <c r="K49" s="77"/>
      <c r="L49" s="77"/>
      <c r="M49" s="77"/>
      <c r="N49" s="77"/>
      <c r="O49" s="77"/>
    </row>
    <row r="50" spans="1:15" ht="15" x14ac:dyDescent="0.25">
      <c r="A50" s="391"/>
      <c r="B50" s="391"/>
      <c r="C50" s="391"/>
      <c r="D50" s="391"/>
      <c r="E50" s="391"/>
      <c r="F50" s="391"/>
      <c r="G50" s="99"/>
      <c r="H50" s="388"/>
      <c r="I50" s="99"/>
      <c r="J50" s="77"/>
      <c r="K50" s="77"/>
      <c r="L50" s="77"/>
      <c r="M50" s="77"/>
      <c r="N50" s="77"/>
      <c r="O50" s="77"/>
    </row>
    <row r="51" spans="1:15" ht="15" x14ac:dyDescent="0.25">
      <c r="A51" s="395"/>
      <c r="B51" s="392"/>
      <c r="C51" s="392"/>
      <c r="D51" s="392"/>
      <c r="E51" s="392"/>
      <c r="F51" s="205"/>
      <c r="G51" s="99"/>
      <c r="H51" s="388"/>
      <c r="I51" s="99"/>
      <c r="J51" s="77"/>
      <c r="K51" s="77"/>
      <c r="L51" s="77"/>
      <c r="M51" s="77"/>
      <c r="N51" s="77"/>
      <c r="O51" s="77"/>
    </row>
    <row r="52" spans="1:15" ht="15" x14ac:dyDescent="0.25">
      <c r="A52" s="395"/>
      <c r="B52" s="392"/>
      <c r="C52" s="392"/>
      <c r="D52" s="392"/>
      <c r="E52" s="392"/>
      <c r="F52" s="205"/>
      <c r="G52" s="99"/>
      <c r="H52" s="388"/>
      <c r="I52" s="99"/>
      <c r="J52" s="77"/>
      <c r="K52" s="77"/>
      <c r="L52" s="77"/>
      <c r="M52" s="77"/>
      <c r="N52" s="77"/>
      <c r="O52" s="77"/>
    </row>
    <row r="53" spans="1:15" ht="15" x14ac:dyDescent="0.25">
      <c r="A53" s="391"/>
      <c r="B53" s="392"/>
      <c r="C53" s="392"/>
      <c r="D53" s="392"/>
      <c r="E53" s="392"/>
      <c r="F53" s="205"/>
      <c r="G53" s="99"/>
      <c r="H53" s="388"/>
      <c r="I53" s="99"/>
      <c r="J53" s="77"/>
      <c r="K53" s="77"/>
      <c r="L53" s="77"/>
      <c r="M53" s="77"/>
      <c r="N53" s="77"/>
      <c r="O53" s="77"/>
    </row>
    <row r="54" spans="1:15" ht="15" x14ac:dyDescent="0.25">
      <c r="A54" s="395"/>
      <c r="B54" s="392"/>
      <c r="C54" s="392"/>
      <c r="D54" s="392"/>
      <c r="E54" s="392"/>
      <c r="F54" s="205"/>
      <c r="G54" s="99"/>
      <c r="H54" s="388"/>
      <c r="I54" s="99"/>
      <c r="J54" s="77"/>
      <c r="K54" s="77"/>
      <c r="L54" s="77"/>
      <c r="M54" s="77"/>
      <c r="N54" s="77"/>
      <c r="O54" s="77"/>
    </row>
    <row r="55" spans="1:15" ht="15" x14ac:dyDescent="0.25">
      <c r="A55" s="391"/>
      <c r="B55" s="392"/>
      <c r="C55" s="392"/>
      <c r="D55" s="392"/>
      <c r="E55" s="392"/>
      <c r="F55" s="205"/>
      <c r="G55" s="99"/>
      <c r="H55" s="388"/>
      <c r="I55" s="99"/>
      <c r="J55" s="77"/>
      <c r="K55" s="77"/>
      <c r="L55" s="77"/>
      <c r="M55" s="77"/>
      <c r="N55" s="77"/>
      <c r="O55" s="77"/>
    </row>
    <row r="56" spans="1:15" ht="15" x14ac:dyDescent="0.25">
      <c r="A56" s="391"/>
      <c r="B56" s="392"/>
      <c r="C56" s="392"/>
      <c r="D56" s="392"/>
      <c r="E56" s="392"/>
      <c r="F56" s="205"/>
      <c r="G56" s="99"/>
      <c r="H56" s="388"/>
      <c r="I56" s="99"/>
      <c r="J56" s="77"/>
      <c r="K56" s="77"/>
      <c r="L56" s="77"/>
      <c r="M56" s="77"/>
      <c r="N56" s="77"/>
      <c r="O56" s="77"/>
    </row>
    <row r="57" spans="1:15" ht="16.8" x14ac:dyDescent="0.4">
      <c r="A57" s="391"/>
      <c r="B57" s="393"/>
      <c r="C57" s="393"/>
      <c r="D57" s="393"/>
      <c r="E57" s="393"/>
      <c r="F57" s="207"/>
      <c r="G57" s="99"/>
      <c r="H57" s="389"/>
      <c r="I57" s="99"/>
      <c r="J57" s="77"/>
      <c r="K57" s="77"/>
      <c r="L57" s="77"/>
      <c r="M57" s="77"/>
      <c r="N57" s="77"/>
      <c r="O57" s="77"/>
    </row>
    <row r="58" spans="1:15" ht="16.8" x14ac:dyDescent="0.4">
      <c r="A58" s="391"/>
      <c r="B58" s="394"/>
      <c r="C58" s="394"/>
      <c r="D58" s="394"/>
      <c r="E58" s="394"/>
      <c r="F58" s="210"/>
      <c r="G58" s="99"/>
      <c r="H58" s="390"/>
      <c r="I58" s="99"/>
      <c r="J58" s="77"/>
      <c r="K58" s="77"/>
      <c r="L58" s="77"/>
      <c r="M58" s="77"/>
      <c r="N58" s="77"/>
      <c r="O58" s="77"/>
    </row>
    <row r="59" spans="1:15" ht="15" x14ac:dyDescent="0.25">
      <c r="A59" s="391"/>
      <c r="B59" s="391"/>
      <c r="C59" s="391"/>
      <c r="D59" s="391"/>
      <c r="E59" s="391"/>
      <c r="F59" s="391"/>
      <c r="G59" s="99"/>
      <c r="H59" s="388"/>
      <c r="I59" s="99"/>
      <c r="J59" s="77"/>
      <c r="K59" s="77"/>
      <c r="L59" s="77"/>
      <c r="M59" s="77"/>
      <c r="N59" s="77"/>
      <c r="O59" s="77"/>
    </row>
    <row r="60" spans="1:15" ht="15" x14ac:dyDescent="0.25">
      <c r="A60" s="99"/>
      <c r="B60" s="99"/>
      <c r="C60" s="99"/>
      <c r="D60" s="99"/>
      <c r="E60" s="99"/>
      <c r="F60" s="99"/>
      <c r="G60" s="99"/>
      <c r="H60" s="388"/>
      <c r="I60" s="99"/>
      <c r="J60" s="77"/>
      <c r="K60" s="77"/>
      <c r="L60" s="77"/>
      <c r="M60" s="77"/>
      <c r="N60" s="77"/>
      <c r="O60" s="77"/>
    </row>
    <row r="61" spans="1:15" ht="15" x14ac:dyDescent="0.25">
      <c r="A61" s="99"/>
      <c r="B61" s="99"/>
      <c r="C61" s="99"/>
      <c r="D61" s="99"/>
      <c r="E61" s="99"/>
      <c r="F61" s="99"/>
      <c r="G61" s="99"/>
      <c r="H61" s="388"/>
      <c r="I61" s="99"/>
      <c r="J61" s="77"/>
      <c r="K61" s="77"/>
      <c r="L61" s="77"/>
      <c r="M61" s="77"/>
      <c r="N61" s="77"/>
      <c r="O61" s="77"/>
    </row>
    <row r="62" spans="1:15" ht="15" x14ac:dyDescent="0.25">
      <c r="A62" s="99"/>
      <c r="B62" s="99"/>
      <c r="C62" s="99"/>
      <c r="D62" s="99"/>
      <c r="E62" s="99"/>
      <c r="F62" s="99"/>
      <c r="G62" s="99"/>
      <c r="H62" s="388"/>
      <c r="I62" s="99"/>
      <c r="J62" s="77"/>
      <c r="K62" s="77"/>
      <c r="L62" s="77"/>
      <c r="M62" s="77"/>
      <c r="N62" s="77"/>
      <c r="O62" s="77"/>
    </row>
    <row r="63" spans="1:15" ht="15" x14ac:dyDescent="0.25">
      <c r="A63" s="99"/>
      <c r="B63" s="99"/>
      <c r="C63" s="99"/>
      <c r="D63" s="99"/>
      <c r="E63" s="99"/>
      <c r="F63" s="99"/>
      <c r="G63" s="99"/>
      <c r="H63" s="388"/>
      <c r="I63" s="99"/>
      <c r="J63" s="77"/>
      <c r="K63" s="77"/>
      <c r="L63" s="77"/>
      <c r="M63" s="77"/>
      <c r="N63" s="77"/>
      <c r="O63" s="77"/>
    </row>
    <row r="64" spans="1:15" ht="15" x14ac:dyDescent="0.25">
      <c r="A64" s="99"/>
      <c r="B64" s="99"/>
      <c r="C64" s="99"/>
      <c r="D64" s="99"/>
      <c r="E64" s="99"/>
      <c r="F64" s="99"/>
      <c r="G64" s="99"/>
      <c r="H64" s="388"/>
      <c r="I64" s="99"/>
      <c r="J64" s="77"/>
      <c r="K64" s="77"/>
      <c r="L64" s="77"/>
      <c r="M64" s="77"/>
      <c r="N64" s="77"/>
      <c r="O64" s="77"/>
    </row>
    <row r="65" spans="1:15" ht="15" x14ac:dyDescent="0.25">
      <c r="A65" s="99"/>
      <c r="B65" s="99"/>
      <c r="C65" s="99"/>
      <c r="D65" s="99"/>
      <c r="E65" s="99"/>
      <c r="F65" s="99"/>
      <c r="G65" s="99"/>
      <c r="H65" s="388"/>
      <c r="I65" s="99"/>
      <c r="J65" s="77"/>
      <c r="K65" s="77"/>
      <c r="L65" s="77"/>
      <c r="M65" s="77"/>
      <c r="N65" s="77"/>
      <c r="O65" s="77"/>
    </row>
    <row r="66" spans="1:15" ht="15" x14ac:dyDescent="0.25">
      <c r="A66" s="99"/>
      <c r="B66" s="99"/>
      <c r="C66" s="99"/>
      <c r="D66" s="99"/>
      <c r="E66" s="99"/>
      <c r="F66" s="99"/>
      <c r="G66" s="99"/>
      <c r="H66" s="388"/>
      <c r="I66" s="99"/>
      <c r="J66" s="77"/>
      <c r="K66" s="77"/>
      <c r="L66" s="77"/>
      <c r="M66" s="77"/>
      <c r="N66" s="77"/>
      <c r="O66" s="77"/>
    </row>
    <row r="67" spans="1:15" ht="15" x14ac:dyDescent="0.25">
      <c r="A67" s="99"/>
      <c r="B67" s="99"/>
      <c r="C67" s="99"/>
      <c r="D67" s="99"/>
      <c r="E67" s="99"/>
      <c r="F67" s="99"/>
      <c r="G67" s="99"/>
      <c r="H67" s="388"/>
      <c r="I67" s="99"/>
      <c r="J67" s="77"/>
      <c r="K67" s="77"/>
      <c r="L67" s="77"/>
      <c r="M67" s="77"/>
      <c r="N67" s="77"/>
      <c r="O67" s="77"/>
    </row>
    <row r="68" spans="1:15" ht="15" x14ac:dyDescent="0.25">
      <c r="A68" s="99"/>
      <c r="B68" s="99"/>
      <c r="C68" s="99"/>
      <c r="D68" s="99"/>
      <c r="E68" s="99"/>
      <c r="F68" s="99"/>
      <c r="G68" s="99"/>
      <c r="H68" s="388"/>
      <c r="I68" s="99"/>
      <c r="J68" s="77"/>
      <c r="K68" s="77"/>
      <c r="L68" s="77"/>
      <c r="M68" s="77"/>
      <c r="N68" s="77"/>
      <c r="O68" s="77"/>
    </row>
    <row r="69" spans="1:15" ht="15" x14ac:dyDescent="0.25">
      <c r="A69" s="99"/>
      <c r="B69" s="99"/>
      <c r="C69" s="99"/>
      <c r="D69" s="99"/>
      <c r="E69" s="99"/>
      <c r="F69" s="99"/>
      <c r="G69" s="99"/>
      <c r="H69" s="388"/>
      <c r="I69" s="99"/>
      <c r="J69" s="77"/>
      <c r="K69" s="77"/>
      <c r="L69" s="77"/>
      <c r="M69" s="77"/>
      <c r="N69" s="77"/>
      <c r="O69" s="77"/>
    </row>
    <row r="70" spans="1:15" ht="15" x14ac:dyDescent="0.25">
      <c r="A70" s="99"/>
      <c r="B70" s="99"/>
      <c r="C70" s="99"/>
      <c r="D70" s="99"/>
      <c r="E70" s="99"/>
      <c r="F70" s="99"/>
      <c r="G70" s="99"/>
      <c r="H70" s="388"/>
      <c r="I70" s="99"/>
      <c r="J70" s="77"/>
      <c r="K70" s="77"/>
      <c r="L70" s="77"/>
      <c r="M70" s="77"/>
      <c r="N70" s="77"/>
      <c r="O70" s="77"/>
    </row>
    <row r="71" spans="1:15" ht="15" x14ac:dyDescent="0.25">
      <c r="A71" s="99"/>
      <c r="B71" s="99"/>
      <c r="C71" s="99"/>
      <c r="D71" s="99"/>
      <c r="E71" s="99"/>
      <c r="F71" s="99"/>
      <c r="G71" s="99"/>
      <c r="H71" s="388"/>
      <c r="I71" s="99"/>
      <c r="J71" s="77"/>
      <c r="K71" s="77"/>
      <c r="L71" s="77"/>
      <c r="M71" s="77"/>
      <c r="N71" s="77"/>
      <c r="O71" s="77"/>
    </row>
    <row r="72" spans="1:15" ht="15" x14ac:dyDescent="0.25">
      <c r="A72" s="99"/>
      <c r="B72" s="99"/>
      <c r="C72" s="99"/>
      <c r="D72" s="99"/>
      <c r="E72" s="99"/>
      <c r="F72" s="99"/>
      <c r="G72" s="99"/>
      <c r="H72" s="388"/>
      <c r="I72" s="99"/>
      <c r="J72" s="77"/>
      <c r="K72" s="77"/>
      <c r="L72" s="77"/>
      <c r="M72" s="77"/>
      <c r="N72" s="77"/>
      <c r="O72" s="77"/>
    </row>
    <row r="73" spans="1:15" ht="15" x14ac:dyDescent="0.25">
      <c r="A73" s="99"/>
      <c r="B73" s="99"/>
      <c r="C73" s="99"/>
      <c r="D73" s="99"/>
      <c r="E73" s="99"/>
      <c r="F73" s="99"/>
      <c r="G73" s="99"/>
      <c r="H73" s="388"/>
      <c r="I73" s="99"/>
      <c r="J73" s="77"/>
      <c r="K73" s="77"/>
      <c r="L73" s="77"/>
      <c r="M73" s="77"/>
      <c r="N73" s="77"/>
      <c r="O73" s="77"/>
    </row>
    <row r="74" spans="1:15" ht="15" x14ac:dyDescent="0.25">
      <c r="A74" s="99"/>
      <c r="B74" s="99"/>
      <c r="C74" s="99"/>
      <c r="D74" s="99"/>
      <c r="E74" s="99"/>
      <c r="F74" s="99"/>
      <c r="G74" s="99"/>
      <c r="H74" s="388"/>
      <c r="I74" s="99"/>
      <c r="J74" s="77"/>
      <c r="K74" s="77"/>
      <c r="L74" s="77"/>
      <c r="M74" s="77"/>
      <c r="N74" s="77"/>
      <c r="O74" s="77"/>
    </row>
    <row r="75" spans="1:15" ht="15" x14ac:dyDescent="0.25">
      <c r="A75" s="99"/>
      <c r="B75" s="99"/>
      <c r="C75" s="99"/>
      <c r="D75" s="99"/>
      <c r="E75" s="99"/>
      <c r="F75" s="99"/>
      <c r="G75" s="99"/>
      <c r="H75" s="388"/>
      <c r="I75" s="99"/>
      <c r="J75" s="77"/>
      <c r="K75" s="77"/>
      <c r="L75" s="77"/>
      <c r="M75" s="77"/>
      <c r="N75" s="77"/>
      <c r="O75" s="77"/>
    </row>
    <row r="76" spans="1:15" ht="15" x14ac:dyDescent="0.25">
      <c r="A76" s="99"/>
      <c r="B76" s="99"/>
      <c r="C76" s="99"/>
      <c r="D76" s="99"/>
      <c r="E76" s="99"/>
      <c r="F76" s="99"/>
      <c r="G76" s="99"/>
      <c r="H76" s="388"/>
      <c r="I76" s="99"/>
      <c r="J76" s="77"/>
      <c r="K76" s="77"/>
      <c r="L76" s="77"/>
      <c r="M76" s="77"/>
      <c r="N76" s="77"/>
      <c r="O76" s="77"/>
    </row>
    <row r="77" spans="1:15" ht="15" x14ac:dyDescent="0.25">
      <c r="A77" s="99"/>
      <c r="B77" s="99"/>
      <c r="C77" s="99"/>
      <c r="D77" s="99"/>
      <c r="E77" s="99"/>
      <c r="F77" s="99"/>
      <c r="G77" s="99"/>
      <c r="H77" s="388"/>
      <c r="I77" s="99"/>
      <c r="J77" s="77"/>
      <c r="K77" s="77"/>
      <c r="L77" s="77"/>
      <c r="M77" s="77"/>
      <c r="N77" s="77"/>
      <c r="O77" s="77"/>
    </row>
    <row r="78" spans="1:15" ht="15" x14ac:dyDescent="0.25">
      <c r="A78" s="99"/>
      <c r="B78" s="99"/>
      <c r="C78" s="99"/>
      <c r="D78" s="99"/>
      <c r="E78" s="99"/>
      <c r="F78" s="99"/>
      <c r="G78" s="99"/>
      <c r="H78" s="388"/>
      <c r="I78" s="99"/>
      <c r="J78" s="77"/>
      <c r="K78" s="77"/>
      <c r="L78" s="77"/>
      <c r="M78" s="77"/>
      <c r="N78" s="77"/>
      <c r="O78" s="77"/>
    </row>
    <row r="79" spans="1:15" ht="15" x14ac:dyDescent="0.25">
      <c r="A79" s="99"/>
      <c r="B79" s="99"/>
      <c r="C79" s="99"/>
      <c r="D79" s="99"/>
      <c r="E79" s="99"/>
      <c r="F79" s="99"/>
      <c r="G79" s="99"/>
      <c r="H79" s="388"/>
      <c r="I79" s="99"/>
      <c r="J79" s="77"/>
      <c r="K79" s="77"/>
      <c r="L79" s="77"/>
      <c r="M79" s="77"/>
      <c r="N79" s="77"/>
      <c r="O79" s="77"/>
    </row>
    <row r="80" spans="1:15" ht="15" x14ac:dyDescent="0.25">
      <c r="A80" s="99"/>
      <c r="B80" s="99"/>
      <c r="C80" s="99"/>
      <c r="D80" s="99"/>
      <c r="E80" s="99"/>
      <c r="F80" s="99"/>
      <c r="G80" s="99"/>
      <c r="H80" s="388"/>
      <c r="I80" s="99"/>
      <c r="J80" s="77"/>
      <c r="K80" s="77"/>
      <c r="L80" s="77"/>
      <c r="M80" s="77"/>
      <c r="N80" s="77"/>
      <c r="O80" s="77"/>
    </row>
    <row r="81" spans="1:15" ht="15" x14ac:dyDescent="0.25">
      <c r="A81" s="99"/>
      <c r="B81" s="99"/>
      <c r="C81" s="99"/>
      <c r="D81" s="99"/>
      <c r="E81" s="99"/>
      <c r="F81" s="99"/>
      <c r="G81" s="99"/>
      <c r="H81" s="388"/>
      <c r="I81" s="99"/>
      <c r="J81" s="77"/>
      <c r="K81" s="77"/>
      <c r="L81" s="77"/>
      <c r="M81" s="77"/>
      <c r="N81" s="77"/>
      <c r="O81" s="77"/>
    </row>
    <row r="82" spans="1:15" ht="15" x14ac:dyDescent="0.25">
      <c r="A82" s="99"/>
      <c r="B82" s="99"/>
      <c r="C82" s="99"/>
      <c r="D82" s="99"/>
      <c r="E82" s="99"/>
      <c r="F82" s="99"/>
      <c r="G82" s="99"/>
      <c r="H82" s="388"/>
      <c r="I82" s="99"/>
      <c r="J82" s="77"/>
      <c r="K82" s="77"/>
      <c r="L82" s="77"/>
      <c r="M82" s="77"/>
      <c r="N82" s="77"/>
      <c r="O82" s="77"/>
    </row>
    <row r="83" spans="1:15" ht="15" x14ac:dyDescent="0.25">
      <c r="A83" s="99"/>
      <c r="B83" s="99"/>
      <c r="C83" s="99"/>
      <c r="D83" s="99"/>
      <c r="E83" s="99"/>
      <c r="F83" s="99"/>
      <c r="G83" s="99"/>
      <c r="H83" s="388"/>
      <c r="I83" s="99"/>
      <c r="J83" s="77"/>
      <c r="K83" s="77"/>
      <c r="L83" s="77"/>
      <c r="M83" s="77"/>
      <c r="N83" s="77"/>
      <c r="O83" s="77"/>
    </row>
    <row r="84" spans="1:15" ht="15" x14ac:dyDescent="0.25">
      <c r="A84" s="99"/>
      <c r="B84" s="99"/>
      <c r="C84" s="99"/>
      <c r="D84" s="99"/>
      <c r="E84" s="99"/>
      <c r="F84" s="99"/>
      <c r="G84" s="99"/>
      <c r="H84" s="388"/>
      <c r="I84" s="99"/>
      <c r="J84" s="77"/>
      <c r="K84" s="77"/>
      <c r="L84" s="77"/>
      <c r="M84" s="77"/>
      <c r="N84" s="77"/>
      <c r="O84" s="77"/>
    </row>
    <row r="85" spans="1:15" ht="15" x14ac:dyDescent="0.25">
      <c r="A85" s="99"/>
      <c r="B85" s="99"/>
      <c r="C85" s="99"/>
      <c r="D85" s="99"/>
      <c r="E85" s="99"/>
      <c r="F85" s="99"/>
      <c r="G85" s="99"/>
      <c r="H85" s="388"/>
      <c r="I85" s="99"/>
      <c r="J85" s="77"/>
      <c r="K85" s="77"/>
      <c r="L85" s="77"/>
      <c r="M85" s="77"/>
      <c r="N85" s="77"/>
      <c r="O85" s="77"/>
    </row>
    <row r="86" spans="1:15" ht="15" x14ac:dyDescent="0.25">
      <c r="A86" s="99"/>
      <c r="B86" s="99"/>
      <c r="C86" s="99"/>
      <c r="D86" s="99"/>
      <c r="E86" s="99"/>
      <c r="F86" s="99"/>
      <c r="G86" s="99"/>
      <c r="H86" s="388"/>
      <c r="I86" s="99"/>
      <c r="J86" s="77"/>
      <c r="K86" s="77"/>
      <c r="L86" s="77"/>
      <c r="M86" s="77"/>
      <c r="N86" s="77"/>
      <c r="O86" s="77"/>
    </row>
    <row r="87" spans="1:15" ht="15" x14ac:dyDescent="0.25">
      <c r="A87" s="99"/>
      <c r="B87" s="99"/>
      <c r="C87" s="99"/>
      <c r="D87" s="99"/>
      <c r="E87" s="99"/>
      <c r="F87" s="99"/>
      <c r="G87" s="99"/>
      <c r="H87" s="388"/>
      <c r="I87" s="99"/>
      <c r="J87" s="77"/>
      <c r="K87" s="77"/>
      <c r="L87" s="77"/>
      <c r="M87" s="77"/>
      <c r="N87" s="77"/>
      <c r="O87" s="77"/>
    </row>
    <row r="88" spans="1:15" ht="15" x14ac:dyDescent="0.25">
      <c r="A88" s="99"/>
      <c r="B88" s="99"/>
      <c r="C88" s="99"/>
      <c r="D88" s="99"/>
      <c r="E88" s="99"/>
      <c r="F88" s="99"/>
      <c r="G88" s="99"/>
      <c r="H88" s="388"/>
      <c r="I88" s="99"/>
      <c r="J88" s="77"/>
      <c r="K88" s="77"/>
      <c r="L88" s="77"/>
      <c r="M88" s="77"/>
      <c r="N88" s="77"/>
      <c r="O88" s="77"/>
    </row>
    <row r="89" spans="1:15" ht="15" x14ac:dyDescent="0.25">
      <c r="A89" s="99"/>
      <c r="B89" s="99"/>
      <c r="C89" s="99"/>
      <c r="D89" s="99"/>
      <c r="E89" s="99"/>
      <c r="F89" s="99"/>
      <c r="G89" s="99"/>
      <c r="H89" s="388"/>
      <c r="I89" s="99"/>
      <c r="J89" s="77"/>
      <c r="K89" s="77"/>
      <c r="L89" s="77"/>
      <c r="M89" s="77"/>
      <c r="N89" s="77"/>
      <c r="O89" s="77"/>
    </row>
    <row r="90" spans="1:15" ht="15" x14ac:dyDescent="0.25">
      <c r="A90" s="99"/>
      <c r="B90" s="99"/>
      <c r="C90" s="99"/>
      <c r="D90" s="99"/>
      <c r="E90" s="99"/>
      <c r="F90" s="99"/>
      <c r="G90" s="99"/>
      <c r="H90" s="388"/>
      <c r="I90" s="99"/>
      <c r="J90" s="77"/>
      <c r="K90" s="77"/>
      <c r="L90" s="77"/>
      <c r="M90" s="77"/>
      <c r="N90" s="77"/>
      <c r="O90" s="77"/>
    </row>
    <row r="91" spans="1:15" ht="15" x14ac:dyDescent="0.25">
      <c r="A91" s="99"/>
      <c r="B91" s="99"/>
      <c r="C91" s="99"/>
      <c r="D91" s="99"/>
      <c r="E91" s="99"/>
      <c r="F91" s="99"/>
      <c r="G91" s="99"/>
      <c r="H91" s="388"/>
      <c r="I91" s="99"/>
      <c r="J91" s="77"/>
      <c r="K91" s="77"/>
      <c r="L91" s="77"/>
      <c r="M91" s="77"/>
      <c r="N91" s="77"/>
      <c r="O91" s="77"/>
    </row>
    <row r="92" spans="1:15" ht="15" x14ac:dyDescent="0.25">
      <c r="A92" s="99"/>
      <c r="B92" s="99"/>
      <c r="C92" s="99"/>
      <c r="D92" s="99"/>
      <c r="E92" s="99"/>
      <c r="F92" s="99"/>
      <c r="G92" s="99"/>
      <c r="H92" s="388"/>
      <c r="I92" s="99"/>
      <c r="J92" s="77"/>
      <c r="K92" s="77"/>
      <c r="L92" s="77"/>
      <c r="M92" s="77"/>
      <c r="N92" s="77"/>
      <c r="O92" s="77"/>
    </row>
    <row r="93" spans="1:15" ht="15" x14ac:dyDescent="0.25">
      <c r="A93" s="99"/>
      <c r="B93" s="99"/>
      <c r="C93" s="99"/>
      <c r="D93" s="99"/>
      <c r="E93" s="99"/>
      <c r="F93" s="99"/>
      <c r="G93" s="99"/>
      <c r="H93" s="388"/>
      <c r="I93" s="99"/>
      <c r="J93" s="77"/>
      <c r="K93" s="77"/>
      <c r="L93" s="77"/>
      <c r="M93" s="77"/>
      <c r="N93" s="77"/>
      <c r="O93" s="77"/>
    </row>
    <row r="94" spans="1:15" ht="15" x14ac:dyDescent="0.25">
      <c r="A94" s="99"/>
      <c r="B94" s="99"/>
      <c r="C94" s="99"/>
      <c r="D94" s="99"/>
      <c r="E94" s="99"/>
      <c r="F94" s="99"/>
      <c r="G94" s="99"/>
      <c r="H94" s="388"/>
      <c r="I94" s="99"/>
      <c r="J94" s="77"/>
      <c r="K94" s="77"/>
      <c r="L94" s="77"/>
      <c r="M94" s="77"/>
      <c r="N94" s="77"/>
      <c r="O94" s="77"/>
    </row>
    <row r="95" spans="1:15" ht="15" x14ac:dyDescent="0.25">
      <c r="A95" s="99"/>
      <c r="B95" s="99"/>
      <c r="C95" s="99"/>
      <c r="D95" s="99"/>
      <c r="E95" s="99"/>
      <c r="F95" s="99"/>
      <c r="G95" s="99"/>
      <c r="H95" s="388"/>
      <c r="I95" s="99"/>
      <c r="J95" s="77"/>
      <c r="K95" s="77"/>
      <c r="L95" s="77"/>
      <c r="M95" s="77"/>
      <c r="N95" s="77"/>
      <c r="O95" s="77"/>
    </row>
    <row r="96" spans="1:15" ht="15" x14ac:dyDescent="0.25">
      <c r="A96" s="99"/>
      <c r="B96" s="99"/>
      <c r="C96" s="99"/>
      <c r="D96" s="99"/>
      <c r="E96" s="99"/>
      <c r="F96" s="99"/>
      <c r="G96" s="99"/>
      <c r="H96" s="388"/>
      <c r="I96" s="99"/>
      <c r="J96" s="77"/>
      <c r="K96" s="77"/>
      <c r="L96" s="77"/>
      <c r="M96" s="77"/>
      <c r="N96" s="77"/>
      <c r="O96" s="77"/>
    </row>
    <row r="97" spans="1:15" ht="15" x14ac:dyDescent="0.25">
      <c r="A97" s="99"/>
      <c r="B97" s="99"/>
      <c r="C97" s="99"/>
      <c r="D97" s="99"/>
      <c r="E97" s="99"/>
      <c r="F97" s="99"/>
      <c r="G97" s="99"/>
      <c r="H97" s="388"/>
      <c r="I97" s="99"/>
      <c r="J97" s="77"/>
      <c r="K97" s="77"/>
      <c r="L97" s="77"/>
      <c r="M97" s="77"/>
      <c r="N97" s="77"/>
      <c r="O97" s="77"/>
    </row>
    <row r="98" spans="1:15" ht="15" x14ac:dyDescent="0.25">
      <c r="A98" s="99"/>
      <c r="B98" s="99"/>
      <c r="C98" s="99"/>
      <c r="D98" s="99"/>
      <c r="E98" s="99"/>
      <c r="F98" s="99"/>
      <c r="G98" s="99"/>
      <c r="H98" s="388"/>
      <c r="I98" s="99"/>
      <c r="J98" s="77"/>
      <c r="K98" s="77"/>
      <c r="L98" s="77"/>
      <c r="M98" s="77"/>
      <c r="N98" s="77"/>
      <c r="O98" s="77"/>
    </row>
    <row r="99" spans="1:15" ht="15" x14ac:dyDescent="0.25">
      <c r="A99" s="99"/>
      <c r="B99" s="99"/>
      <c r="C99" s="99"/>
      <c r="D99" s="99"/>
      <c r="E99" s="99"/>
      <c r="F99" s="99"/>
      <c r="G99" s="99"/>
      <c r="H99" s="388"/>
      <c r="I99" s="99"/>
      <c r="J99" s="77"/>
      <c r="K99" s="77"/>
      <c r="L99" s="77"/>
      <c r="M99" s="77"/>
      <c r="N99" s="77"/>
      <c r="O99" s="77"/>
    </row>
    <row r="100" spans="1:15" ht="15.6" thickBot="1" x14ac:dyDescent="0.3">
      <c r="A100" s="99"/>
      <c r="B100" s="99"/>
      <c r="C100" s="99"/>
      <c r="D100" s="99"/>
      <c r="E100" s="99"/>
      <c r="F100" s="99"/>
      <c r="G100" s="99"/>
      <c r="H100" s="388"/>
      <c r="I100" s="99"/>
      <c r="J100" s="77"/>
      <c r="K100" s="77"/>
      <c r="L100" s="77"/>
      <c r="M100" s="77"/>
      <c r="N100" s="77"/>
      <c r="O100" s="77"/>
    </row>
    <row r="101" spans="1:15" ht="15" x14ac:dyDescent="0.25">
      <c r="A101" s="894" t="s">
        <v>195</v>
      </c>
      <c r="B101" s="895"/>
      <c r="C101" s="895"/>
      <c r="D101" s="895"/>
      <c r="E101" s="895"/>
      <c r="F101" s="896"/>
      <c r="G101" s="99"/>
      <c r="H101" s="388"/>
      <c r="I101" s="99"/>
      <c r="J101" s="77"/>
      <c r="K101" s="77"/>
      <c r="L101" s="77"/>
      <c r="M101" s="77"/>
      <c r="N101" s="77"/>
      <c r="O101" s="77"/>
    </row>
    <row r="102" spans="1:15" ht="15.6" thickBot="1" x14ac:dyDescent="0.3">
      <c r="A102" s="897"/>
      <c r="B102" s="898"/>
      <c r="C102" s="898"/>
      <c r="D102" s="898"/>
      <c r="E102" s="898"/>
      <c r="F102" s="899"/>
      <c r="G102" s="99"/>
      <c r="H102" s="388"/>
      <c r="I102" s="99"/>
      <c r="J102" s="77"/>
      <c r="K102" s="77"/>
      <c r="L102" s="77"/>
      <c r="M102" s="77"/>
      <c r="N102" s="77"/>
      <c r="O102" s="77"/>
    </row>
    <row r="103" spans="1:15" ht="15" x14ac:dyDescent="0.25">
      <c r="A103" s="162" t="s">
        <v>5</v>
      </c>
      <c r="B103" s="161" t="s">
        <v>6</v>
      </c>
      <c r="C103" s="161" t="s">
        <v>13</v>
      </c>
      <c r="D103" s="161" t="s">
        <v>82</v>
      </c>
      <c r="E103" s="161" t="s">
        <v>115</v>
      </c>
      <c r="F103" s="163" t="s">
        <v>116</v>
      </c>
      <c r="G103" s="99"/>
      <c r="H103" s="388"/>
      <c r="I103" s="99"/>
      <c r="J103" s="77"/>
      <c r="K103" s="77"/>
      <c r="L103" s="77"/>
      <c r="M103" s="77"/>
      <c r="N103" s="77"/>
      <c r="O103" s="77"/>
    </row>
    <row r="104" spans="1:15" ht="15" x14ac:dyDescent="0.25">
      <c r="A104" s="396" t="s">
        <v>239</v>
      </c>
      <c r="B104" s="106"/>
      <c r="C104" s="106"/>
      <c r="D104" s="106"/>
      <c r="E104" s="106"/>
      <c r="F104" s="107"/>
      <c r="G104" s="99"/>
      <c r="H104" s="388"/>
      <c r="I104" s="99"/>
      <c r="J104" s="77"/>
      <c r="K104" s="77"/>
      <c r="L104" s="77"/>
      <c r="M104" s="77"/>
      <c r="N104" s="77"/>
      <c r="O104" s="77"/>
    </row>
    <row r="105" spans="1:15" ht="30" x14ac:dyDescent="0.25">
      <c r="A105" s="396" t="s">
        <v>91</v>
      </c>
      <c r="B105" s="106" t="s">
        <v>190</v>
      </c>
      <c r="C105" s="106" t="s">
        <v>18</v>
      </c>
      <c r="D105" s="106" t="s">
        <v>8</v>
      </c>
      <c r="E105" s="106" t="s">
        <v>36</v>
      </c>
      <c r="F105" s="107" t="s">
        <v>29</v>
      </c>
      <c r="G105" s="99"/>
      <c r="H105" s="388"/>
      <c r="I105" s="99"/>
      <c r="J105" s="77"/>
      <c r="K105" s="77"/>
      <c r="L105" s="77"/>
      <c r="M105" s="77"/>
      <c r="N105" s="77"/>
      <c r="O105" s="77"/>
    </row>
    <row r="106" spans="1:15" ht="30" x14ac:dyDescent="0.25">
      <c r="A106" s="397" t="s">
        <v>27</v>
      </c>
      <c r="B106" s="106" t="s">
        <v>192</v>
      </c>
      <c r="C106" s="106" t="s">
        <v>15</v>
      </c>
      <c r="D106" s="106" t="s">
        <v>84</v>
      </c>
      <c r="E106" s="106" t="s">
        <v>35</v>
      </c>
      <c r="F106" s="107" t="s">
        <v>28</v>
      </c>
      <c r="G106" s="99"/>
      <c r="H106" s="388"/>
      <c r="I106" s="99"/>
      <c r="J106" s="77"/>
      <c r="K106" s="77"/>
      <c r="L106" s="77"/>
      <c r="M106" s="77"/>
      <c r="N106" s="77"/>
      <c r="O106" s="77"/>
    </row>
    <row r="107" spans="1:15" ht="30" x14ac:dyDescent="0.25">
      <c r="A107" s="397" t="s">
        <v>125</v>
      </c>
      <c r="B107" s="106" t="s">
        <v>191</v>
      </c>
      <c r="C107" s="106" t="s">
        <v>16</v>
      </c>
      <c r="D107" s="106"/>
      <c r="E107" s="106" t="s">
        <v>46</v>
      </c>
      <c r="F107" s="107" t="s">
        <v>34</v>
      </c>
      <c r="G107" s="99"/>
      <c r="H107" s="388"/>
      <c r="I107" s="99"/>
      <c r="J107" s="77"/>
      <c r="K107" s="77"/>
      <c r="L107" s="77"/>
      <c r="M107" s="77"/>
      <c r="N107" s="77"/>
      <c r="O107" s="77"/>
    </row>
    <row r="108" spans="1:15" ht="15" x14ac:dyDescent="0.25">
      <c r="A108" s="396" t="s">
        <v>128</v>
      </c>
      <c r="B108" s="106" t="s">
        <v>193</v>
      </c>
      <c r="C108" s="106" t="s">
        <v>20</v>
      </c>
      <c r="D108" s="106"/>
      <c r="E108" s="106" t="s">
        <v>44</v>
      </c>
      <c r="F108" s="107" t="s">
        <v>142</v>
      </c>
      <c r="G108" s="99"/>
      <c r="H108" s="388"/>
      <c r="I108" s="99"/>
      <c r="J108" s="77"/>
      <c r="K108" s="77"/>
      <c r="L108" s="77"/>
      <c r="M108" s="77"/>
      <c r="N108" s="77"/>
      <c r="O108" s="77"/>
    </row>
    <row r="109" spans="1:15" ht="15" x14ac:dyDescent="0.25">
      <c r="A109" s="397" t="s">
        <v>326</v>
      </c>
      <c r="B109" s="106"/>
      <c r="C109" s="106" t="s">
        <v>19</v>
      </c>
      <c r="D109" s="106"/>
      <c r="E109" s="106" t="s">
        <v>37</v>
      </c>
      <c r="F109" s="107" t="s">
        <v>30</v>
      </c>
      <c r="G109" s="99"/>
      <c r="H109" s="388"/>
      <c r="I109" s="99"/>
      <c r="J109" s="77"/>
      <c r="K109" s="77"/>
      <c r="L109" s="77"/>
      <c r="M109" s="77"/>
      <c r="N109" s="77"/>
      <c r="O109" s="77"/>
    </row>
    <row r="110" spans="1:15" ht="30" x14ac:dyDescent="0.25">
      <c r="A110" s="396" t="s">
        <v>308</v>
      </c>
      <c r="B110" s="106"/>
      <c r="C110" s="106" t="s">
        <v>21</v>
      </c>
      <c r="D110" s="106"/>
      <c r="E110" s="106" t="s">
        <v>117</v>
      </c>
      <c r="F110" s="107" t="s">
        <v>121</v>
      </c>
      <c r="G110" s="99"/>
      <c r="H110" s="388"/>
      <c r="I110" s="99"/>
      <c r="J110" s="77"/>
      <c r="K110" s="77"/>
      <c r="L110" s="77"/>
      <c r="M110" s="77"/>
      <c r="N110" s="77"/>
      <c r="O110" s="77"/>
    </row>
    <row r="111" spans="1:15" ht="30" x14ac:dyDescent="0.25">
      <c r="A111" s="396" t="s">
        <v>309</v>
      </c>
      <c r="B111" s="106"/>
      <c r="C111" s="106" t="s">
        <v>14</v>
      </c>
      <c r="D111" s="106"/>
      <c r="E111" s="106" t="s">
        <v>42</v>
      </c>
      <c r="F111" s="107" t="s">
        <v>40</v>
      </c>
      <c r="G111" s="99"/>
      <c r="H111" s="388"/>
      <c r="I111" s="99"/>
      <c r="J111" s="77"/>
      <c r="K111" s="77"/>
      <c r="L111" s="77"/>
      <c r="M111" s="77"/>
      <c r="N111" s="77"/>
      <c r="O111" s="77"/>
    </row>
    <row r="112" spans="1:15" ht="30" x14ac:dyDescent="0.25">
      <c r="A112" s="396" t="s">
        <v>307</v>
      </c>
      <c r="B112" s="106"/>
      <c r="C112" s="106" t="s">
        <v>17</v>
      </c>
      <c r="D112" s="106"/>
      <c r="E112" s="106" t="s">
        <v>38</v>
      </c>
      <c r="F112" s="107" t="s">
        <v>31</v>
      </c>
      <c r="G112" s="99"/>
      <c r="H112" s="388"/>
      <c r="I112" s="99"/>
      <c r="J112" s="77"/>
      <c r="K112" s="77"/>
      <c r="L112" s="77"/>
      <c r="M112" s="77"/>
      <c r="N112" s="77"/>
      <c r="O112" s="77"/>
    </row>
    <row r="113" spans="1:15" ht="15" x14ac:dyDescent="0.25">
      <c r="A113" s="397" t="s">
        <v>4</v>
      </c>
      <c r="B113" s="106"/>
      <c r="C113" s="106"/>
      <c r="D113" s="106"/>
      <c r="E113" s="106" t="s">
        <v>41</v>
      </c>
      <c r="F113" s="107" t="s">
        <v>39</v>
      </c>
      <c r="G113" s="99"/>
      <c r="H113" s="388"/>
      <c r="I113" s="99"/>
      <c r="J113" s="77"/>
      <c r="K113" s="77"/>
      <c r="L113" s="77"/>
      <c r="M113" s="77"/>
      <c r="N113" s="77"/>
      <c r="O113" s="77"/>
    </row>
    <row r="114" spans="1:15" ht="15" x14ac:dyDescent="0.25">
      <c r="A114" s="397" t="s">
        <v>126</v>
      </c>
      <c r="B114" s="106"/>
      <c r="C114" s="106"/>
      <c r="D114" s="106"/>
      <c r="E114" s="106" t="s">
        <v>43</v>
      </c>
      <c r="F114" s="107" t="s">
        <v>120</v>
      </c>
      <c r="G114" s="99"/>
      <c r="H114" s="388"/>
      <c r="I114" s="99"/>
      <c r="J114" s="77"/>
      <c r="K114" s="77"/>
      <c r="L114" s="77"/>
      <c r="M114" s="77"/>
      <c r="N114" s="77"/>
      <c r="O114" s="77"/>
    </row>
    <row r="115" spans="1:15" x14ac:dyDescent="0.25">
      <c r="A115" s="2" t="s">
        <v>238</v>
      </c>
      <c r="B115" s="2"/>
      <c r="C115" s="2"/>
      <c r="D115" s="2"/>
      <c r="E115" s="2" t="s">
        <v>118</v>
      </c>
      <c r="F115" s="2" t="s">
        <v>122</v>
      </c>
      <c r="G115" s="2"/>
      <c r="H115" s="3"/>
      <c r="I115" s="2"/>
    </row>
    <row r="116" spans="1:15" x14ac:dyDescent="0.25">
      <c r="A116" s="2" t="s">
        <v>183</v>
      </c>
      <c r="B116" s="2"/>
      <c r="C116" s="2"/>
      <c r="D116" s="2"/>
      <c r="E116" s="2" t="s">
        <v>45</v>
      </c>
      <c r="F116" s="2" t="s">
        <v>32</v>
      </c>
      <c r="G116" s="2"/>
      <c r="H116" s="3"/>
      <c r="I116" s="2"/>
    </row>
    <row r="117" spans="1:15" ht="15" x14ac:dyDescent="0.25">
      <c r="A117" s="2"/>
      <c r="B117" s="2"/>
      <c r="C117" s="2"/>
      <c r="D117" s="2"/>
      <c r="E117" s="106" t="s">
        <v>142</v>
      </c>
      <c r="F117" s="2"/>
      <c r="G117" s="2"/>
      <c r="H117" s="3"/>
      <c r="I117" s="2"/>
    </row>
    <row r="118" spans="1:15" x14ac:dyDescent="0.25">
      <c r="A118" s="2"/>
      <c r="B118" s="2"/>
      <c r="C118" s="2"/>
      <c r="D118" s="2"/>
      <c r="E118" s="2"/>
      <c r="F118" s="2"/>
      <c r="G118" s="2"/>
      <c r="H118" s="3"/>
      <c r="I118" s="2"/>
    </row>
    <row r="119" spans="1:15" x14ac:dyDescent="0.25">
      <c r="A119" s="2"/>
      <c r="B119" s="2"/>
      <c r="C119" s="2"/>
      <c r="D119" s="2"/>
      <c r="E119" s="2"/>
      <c r="F119" s="2"/>
      <c r="G119" s="2"/>
      <c r="H119" s="3"/>
      <c r="I119" s="2"/>
    </row>
    <row r="120" spans="1:15" x14ac:dyDescent="0.25">
      <c r="A120" s="2"/>
      <c r="B120" s="2"/>
      <c r="C120" s="2"/>
      <c r="D120" s="2"/>
      <c r="E120" s="2"/>
      <c r="F120" s="2"/>
      <c r="G120" s="2"/>
      <c r="H120" s="3"/>
      <c r="I120" s="2"/>
    </row>
    <row r="121" spans="1:15" x14ac:dyDescent="0.25">
      <c r="A121" s="2"/>
      <c r="B121" s="2"/>
      <c r="C121" s="2"/>
      <c r="D121" s="2"/>
      <c r="E121" s="2"/>
      <c r="F121" s="2"/>
      <c r="G121" s="2"/>
      <c r="H121" s="3"/>
      <c r="I121" s="2"/>
    </row>
    <row r="122" spans="1:15" x14ac:dyDescent="0.25">
      <c r="A122" s="2"/>
      <c r="B122" s="2"/>
      <c r="C122" s="2"/>
      <c r="D122" s="2"/>
      <c r="E122" s="2"/>
      <c r="F122" s="2"/>
      <c r="G122" s="2"/>
      <c r="H122" s="3"/>
      <c r="I122" s="2"/>
    </row>
    <row r="123" spans="1:15" x14ac:dyDescent="0.25">
      <c r="A123" s="2"/>
      <c r="B123" s="2"/>
      <c r="C123" s="2"/>
      <c r="D123" s="2"/>
      <c r="E123" s="2"/>
      <c r="F123" s="2"/>
      <c r="G123" s="2"/>
      <c r="H123" s="3"/>
      <c r="I123" s="2"/>
    </row>
    <row r="124" spans="1:15" x14ac:dyDescent="0.25">
      <c r="A124" s="2"/>
      <c r="B124" s="2"/>
      <c r="C124" s="2"/>
      <c r="D124" s="2"/>
      <c r="E124" s="2"/>
      <c r="F124" s="2"/>
      <c r="G124" s="2"/>
      <c r="H124" s="3"/>
      <c r="I124" s="2"/>
    </row>
    <row r="125" spans="1:15" x14ac:dyDescent="0.25">
      <c r="A125" s="2"/>
      <c r="B125" s="2"/>
      <c r="C125" s="2"/>
      <c r="D125" s="2"/>
      <c r="E125" s="2"/>
      <c r="F125" s="2"/>
      <c r="G125" s="2"/>
      <c r="H125" s="3"/>
      <c r="I125" s="2"/>
    </row>
    <row r="126" spans="1:15" x14ac:dyDescent="0.25">
      <c r="A126" s="2"/>
      <c r="B126" s="2"/>
      <c r="C126" s="2"/>
      <c r="D126" s="2"/>
      <c r="E126" s="2"/>
      <c r="F126" s="2"/>
      <c r="G126" s="2"/>
      <c r="H126" s="3"/>
      <c r="I126" s="2"/>
    </row>
    <row r="127" spans="1:15" x14ac:dyDescent="0.25">
      <c r="A127" s="2"/>
      <c r="B127" s="2"/>
      <c r="C127" s="2"/>
      <c r="D127" s="2"/>
      <c r="E127" s="2"/>
      <c r="F127" s="2"/>
      <c r="G127" s="2"/>
      <c r="H127" s="3"/>
      <c r="I127" s="2"/>
    </row>
    <row r="128" spans="1:15" x14ac:dyDescent="0.25">
      <c r="A128" s="2"/>
      <c r="B128" s="2"/>
      <c r="C128" s="2"/>
      <c r="D128" s="2"/>
      <c r="E128" s="2"/>
      <c r="F128" s="2"/>
      <c r="G128" s="2"/>
      <c r="H128" s="3"/>
      <c r="I128" s="2"/>
    </row>
    <row r="129" spans="1:9" x14ac:dyDescent="0.25">
      <c r="A129" s="2"/>
      <c r="B129" s="2"/>
      <c r="C129" s="2"/>
      <c r="D129" s="2"/>
      <c r="E129" s="2"/>
      <c r="F129" s="2"/>
      <c r="G129" s="2"/>
      <c r="H129" s="3"/>
      <c r="I129" s="2"/>
    </row>
  </sheetData>
  <sheetProtection selectLockedCells="1"/>
  <mergeCells count="7">
    <mergeCell ref="A101:F102"/>
    <mergeCell ref="A1:O1"/>
    <mergeCell ref="A3:O3"/>
    <mergeCell ref="A11:O11"/>
    <mergeCell ref="A35:O35"/>
    <mergeCell ref="A47:O47"/>
    <mergeCell ref="A48:F48"/>
  </mergeCells>
  <dataValidations count="8">
    <dataValidation type="list" allowBlank="1" showInputMessage="1" showErrorMessage="1" sqref="F21:F24 F14:F17" xr:uid="{00000000-0002-0000-0A00-000000000000}">
      <formula1>$E$108:$E$124</formula1>
    </dataValidation>
    <dataValidation type="list" allowBlank="1" showInputMessage="1" showErrorMessage="1" sqref="E40 C39:D46" xr:uid="{00000000-0002-0000-0A00-000001000000}">
      <formula1>#REF!</formula1>
    </dataValidation>
    <dataValidation type="list" allowBlank="1" showInputMessage="1" showErrorMessage="1" sqref="C22:D31 C14:D18 C37:D37 C5:D10" xr:uid="{00000000-0002-0000-0A00-000002000000}">
      <formula1>$A$110:$A$122</formula1>
    </dataValidation>
    <dataValidation type="list" allowBlank="1" showInputMessage="1" showErrorMessage="1" sqref="E5:E10 E22:E31 E37 E14:E18" xr:uid="{00000000-0002-0000-0A00-000003000000}">
      <formula1>$F$110:$F$124</formula1>
    </dataValidation>
    <dataValidation type="list" allowBlank="1" showInputMessage="1" showErrorMessage="1" sqref="B5:B10 B22:B31 B14:B18 B37" xr:uid="{00000000-0002-0000-0A00-000004000000}">
      <formula1>$B$110:$B$114</formula1>
    </dataValidation>
    <dataValidation type="list" allowBlank="1" showInputMessage="1" showErrorMessage="1" sqref="A5:A10 A37 A14:A18 A22:A31" xr:uid="{00000000-0002-0000-0A00-000005000000}">
      <formula1>$D$110:$D$112</formula1>
    </dataValidation>
    <dataValidation type="list" allowBlank="1" showInputMessage="1" showErrorMessage="1" sqref="G5:G10 G14:G18 G37 G22:G31" xr:uid="{00000000-0002-0000-0A00-000006000000}">
      <formula1>$C$110:$C$118</formula1>
    </dataValidation>
    <dataValidation type="list" allowBlank="1" showInputMessage="1" showErrorMessage="1" sqref="F18 F5:F10 F37 F25:F31" xr:uid="{00000000-0002-0000-0A00-000007000000}">
      <formula1>$E$110:$E$124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4"/>
  <dimension ref="A1:EA129"/>
  <sheetViews>
    <sheetView zoomScale="70" zoomScaleNormal="70" workbookViewId="0">
      <selection activeCell="K6" sqref="K6"/>
    </sheetView>
  </sheetViews>
  <sheetFormatPr defaultColWidth="8.77734375" defaultRowHeight="13.2" x14ac:dyDescent="0.25"/>
  <cols>
    <col min="1" max="15" width="26.44140625" customWidth="1"/>
  </cols>
  <sheetData>
    <row r="1" spans="1:131" ht="18" thickBot="1" x14ac:dyDescent="0.3">
      <c r="A1" s="900" t="s">
        <v>310</v>
      </c>
      <c r="B1" s="900"/>
      <c r="C1" s="900"/>
      <c r="D1" s="900"/>
      <c r="E1" s="900"/>
      <c r="F1" s="900"/>
      <c r="G1" s="900"/>
      <c r="H1" s="900"/>
      <c r="I1" s="900"/>
      <c r="J1" s="900"/>
      <c r="K1" s="900"/>
      <c r="L1" s="900"/>
      <c r="M1" s="900"/>
      <c r="N1" s="900"/>
      <c r="O1" s="900"/>
    </row>
    <row r="2" spans="1:131" ht="17.399999999999999" x14ac:dyDescent="0.25">
      <c r="A2" s="552" t="s">
        <v>188</v>
      </c>
      <c r="B2" s="175"/>
      <c r="C2" s="552"/>
      <c r="D2" s="552"/>
      <c r="E2" s="552"/>
      <c r="F2" s="552"/>
      <c r="G2" s="552"/>
      <c r="H2" s="381"/>
      <c r="I2" s="552"/>
      <c r="J2" s="399"/>
      <c r="K2" s="399"/>
      <c r="L2" s="399"/>
      <c r="M2" s="399"/>
      <c r="N2" s="399"/>
      <c r="O2" s="399"/>
    </row>
    <row r="3" spans="1:131" ht="15" x14ac:dyDescent="0.25">
      <c r="A3" s="901" t="s">
        <v>204</v>
      </c>
      <c r="B3" s="902"/>
      <c r="C3" s="902"/>
      <c r="D3" s="902"/>
      <c r="E3" s="902"/>
      <c r="F3" s="902"/>
      <c r="G3" s="902"/>
      <c r="H3" s="902"/>
      <c r="I3" s="902"/>
      <c r="J3" s="902"/>
      <c r="K3" s="902"/>
      <c r="L3" s="902"/>
      <c r="M3" s="902"/>
      <c r="N3" s="902"/>
      <c r="O3" s="903"/>
    </row>
    <row r="4" spans="1:131" ht="60" x14ac:dyDescent="0.25">
      <c r="A4" s="176" t="s">
        <v>89</v>
      </c>
      <c r="B4" s="176" t="s">
        <v>90</v>
      </c>
      <c r="C4" s="177" t="s">
        <v>0</v>
      </c>
      <c r="D4" s="177" t="s">
        <v>124</v>
      </c>
      <c r="E4" s="176" t="s">
        <v>143</v>
      </c>
      <c r="F4" s="176" t="s">
        <v>144</v>
      </c>
      <c r="G4" s="176" t="s">
        <v>13</v>
      </c>
      <c r="H4" s="382" t="s">
        <v>88</v>
      </c>
      <c r="I4" s="176" t="s">
        <v>12</v>
      </c>
      <c r="J4" s="400" t="s">
        <v>158</v>
      </c>
      <c r="K4" s="400" t="s">
        <v>148</v>
      </c>
      <c r="L4" s="400" t="s">
        <v>180</v>
      </c>
      <c r="M4" s="400" t="s">
        <v>104</v>
      </c>
      <c r="N4" s="400" t="s">
        <v>179</v>
      </c>
      <c r="O4" s="400" t="s">
        <v>205</v>
      </c>
    </row>
    <row r="5" spans="1:131" ht="30" x14ac:dyDescent="0.25">
      <c r="A5" s="482" t="s">
        <v>84</v>
      </c>
      <c r="B5" s="482" t="s">
        <v>3</v>
      </c>
      <c r="C5" s="482" t="s">
        <v>307</v>
      </c>
      <c r="D5" s="482" t="s">
        <v>307</v>
      </c>
      <c r="E5" s="327" t="s">
        <v>120</v>
      </c>
      <c r="F5" s="457" t="s">
        <v>45</v>
      </c>
      <c r="G5" s="482" t="s">
        <v>14</v>
      </c>
      <c r="H5" s="483">
        <v>44423</v>
      </c>
      <c r="I5" s="482" t="s">
        <v>23</v>
      </c>
      <c r="J5" s="350">
        <v>143.66999999999999</v>
      </c>
      <c r="K5" s="350">
        <f>'Feb14'!K5</f>
        <v>110.75</v>
      </c>
      <c r="L5" s="496">
        <f t="shared" ref="L5:L8" si="0">N5-M5</f>
        <v>11.599307320000001</v>
      </c>
      <c r="M5" s="350">
        <f t="shared" ref="M5:N8" si="1">-DZ5/1000000</f>
        <v>0.5269441800000001</v>
      </c>
      <c r="N5" s="350">
        <f t="shared" si="1"/>
        <v>12.1262515</v>
      </c>
      <c r="O5" s="88"/>
      <c r="DZ5">
        <v>-526944.18000000005</v>
      </c>
      <c r="EA5">
        <v>-12126251.5</v>
      </c>
    </row>
    <row r="6" spans="1:131" ht="30" x14ac:dyDescent="0.25">
      <c r="A6" s="485" t="s">
        <v>84</v>
      </c>
      <c r="B6" s="485" t="s">
        <v>3</v>
      </c>
      <c r="C6" s="485" t="s">
        <v>307</v>
      </c>
      <c r="D6" s="485" t="s">
        <v>307</v>
      </c>
      <c r="E6" s="329" t="s">
        <v>120</v>
      </c>
      <c r="F6" s="457" t="s">
        <v>45</v>
      </c>
      <c r="G6" s="485" t="s">
        <v>14</v>
      </c>
      <c r="H6" s="93">
        <v>44576</v>
      </c>
      <c r="I6" s="485" t="s">
        <v>24</v>
      </c>
      <c r="J6" s="351">
        <v>27.4</v>
      </c>
      <c r="K6" s="351">
        <f>'Feb14'!K6</f>
        <v>23.6</v>
      </c>
      <c r="L6" s="497">
        <f t="shared" si="0"/>
        <v>2.9898249200000002</v>
      </c>
      <c r="M6" s="351">
        <f t="shared" si="1"/>
        <v>6.7871350000000011E-2</v>
      </c>
      <c r="N6" s="351">
        <f t="shared" si="1"/>
        <v>3.0576962700000001</v>
      </c>
      <c r="O6" s="96"/>
      <c r="DZ6">
        <v>-67871.350000000006</v>
      </c>
      <c r="EA6">
        <v>-3057696.27</v>
      </c>
    </row>
    <row r="7" spans="1:131" ht="30" x14ac:dyDescent="0.25">
      <c r="A7" s="482" t="s">
        <v>84</v>
      </c>
      <c r="B7" s="482" t="s">
        <v>3</v>
      </c>
      <c r="C7" s="482" t="s">
        <v>308</v>
      </c>
      <c r="D7" s="482" t="s">
        <v>308</v>
      </c>
      <c r="E7" s="327" t="s">
        <v>39</v>
      </c>
      <c r="F7" s="457" t="s">
        <v>38</v>
      </c>
      <c r="G7" s="482" t="s">
        <v>14</v>
      </c>
      <c r="H7" s="483">
        <v>44576</v>
      </c>
      <c r="I7" s="482" t="s">
        <v>24</v>
      </c>
      <c r="J7" s="350">
        <v>26.85</v>
      </c>
      <c r="K7" s="350">
        <f>'Feb14'!K7</f>
        <v>23.18</v>
      </c>
      <c r="L7" s="496">
        <f t="shared" si="0"/>
        <v>2.9300798699999997</v>
      </c>
      <c r="M7" s="350">
        <f t="shared" si="1"/>
        <v>6.6649219999999995E-2</v>
      </c>
      <c r="N7" s="350">
        <f t="shared" si="1"/>
        <v>2.9967290899999997</v>
      </c>
      <c r="O7" s="88"/>
      <c r="DZ7">
        <v>-66649.22</v>
      </c>
      <c r="EA7">
        <v>-2996729.09</v>
      </c>
    </row>
    <row r="8" spans="1:131" ht="30" x14ac:dyDescent="0.25">
      <c r="A8" s="485" t="s">
        <v>84</v>
      </c>
      <c r="B8" s="485" t="s">
        <v>3</v>
      </c>
      <c r="C8" s="485" t="s">
        <v>309</v>
      </c>
      <c r="D8" s="485" t="s">
        <v>125</v>
      </c>
      <c r="E8" s="329" t="s">
        <v>40</v>
      </c>
      <c r="F8" s="458" t="s">
        <v>42</v>
      </c>
      <c r="G8" s="485" t="s">
        <v>14</v>
      </c>
      <c r="H8" s="93">
        <v>46296</v>
      </c>
      <c r="I8" s="485" t="s">
        <v>25</v>
      </c>
      <c r="J8" s="351">
        <v>40.880000000000003</v>
      </c>
      <c r="K8" s="351">
        <f>'Feb14'!K8</f>
        <v>35.590000000000003</v>
      </c>
      <c r="L8" s="497">
        <f t="shared" si="0"/>
        <v>4.2797541399999997</v>
      </c>
      <c r="M8" s="351">
        <f t="shared" si="1"/>
        <v>6.7813539999999992E-2</v>
      </c>
      <c r="N8" s="351">
        <f t="shared" si="1"/>
        <v>4.34756768</v>
      </c>
      <c r="O8" s="96"/>
      <c r="DZ8">
        <v>-67813.539999999994</v>
      </c>
      <c r="EA8">
        <v>-4347567.68</v>
      </c>
    </row>
    <row r="9" spans="1:131" ht="15" x14ac:dyDescent="0.25">
      <c r="A9" s="111"/>
      <c r="B9" s="111"/>
      <c r="C9" s="111"/>
      <c r="D9" s="111"/>
      <c r="E9" s="123"/>
      <c r="F9" s="111"/>
      <c r="G9" s="111"/>
      <c r="H9" s="114"/>
      <c r="I9" s="111"/>
      <c r="J9" s="352"/>
      <c r="K9" s="352"/>
      <c r="L9" s="352"/>
      <c r="M9" s="352"/>
      <c r="N9" s="353"/>
      <c r="O9" s="353"/>
    </row>
    <row r="10" spans="1:131" ht="15" x14ac:dyDescent="0.25">
      <c r="A10" s="485"/>
      <c r="B10" s="485"/>
      <c r="C10" s="485"/>
      <c r="D10" s="485"/>
      <c r="E10" s="329"/>
      <c r="F10" s="485"/>
      <c r="G10" s="485"/>
      <c r="H10" s="93"/>
      <c r="I10" s="485"/>
      <c r="J10" s="351"/>
      <c r="K10" s="351"/>
      <c r="L10" s="351"/>
      <c r="M10" s="351"/>
      <c r="N10" s="96"/>
      <c r="O10" s="96"/>
    </row>
    <row r="11" spans="1:131" ht="15" x14ac:dyDescent="0.25">
      <c r="A11" s="901" t="s">
        <v>203</v>
      </c>
      <c r="B11" s="902"/>
      <c r="C11" s="902"/>
      <c r="D11" s="902"/>
      <c r="E11" s="902"/>
      <c r="F11" s="902"/>
      <c r="G11" s="902"/>
      <c r="H11" s="902"/>
      <c r="I11" s="902"/>
      <c r="J11" s="902"/>
      <c r="K11" s="902"/>
      <c r="L11" s="902"/>
      <c r="M11" s="902"/>
      <c r="N11" s="902"/>
      <c r="O11" s="903"/>
    </row>
    <row r="12" spans="1:131" ht="60" x14ac:dyDescent="0.25">
      <c r="A12" s="176" t="s">
        <v>89</v>
      </c>
      <c r="B12" s="176" t="s">
        <v>90</v>
      </c>
      <c r="C12" s="177" t="s">
        <v>0</v>
      </c>
      <c r="D12" s="180" t="s">
        <v>124</v>
      </c>
      <c r="E12" s="176" t="s">
        <v>143</v>
      </c>
      <c r="F12" s="176" t="s">
        <v>144</v>
      </c>
      <c r="G12" s="176" t="s">
        <v>13</v>
      </c>
      <c r="H12" s="382" t="s">
        <v>88</v>
      </c>
      <c r="I12" s="176" t="s">
        <v>12</v>
      </c>
      <c r="J12" s="400" t="s">
        <v>150</v>
      </c>
      <c r="K12" s="400" t="s">
        <v>151</v>
      </c>
      <c r="L12" s="400" t="s">
        <v>157</v>
      </c>
      <c r="M12" s="400" t="s">
        <v>149</v>
      </c>
      <c r="N12" s="400" t="s">
        <v>179</v>
      </c>
      <c r="O12" s="400" t="s">
        <v>205</v>
      </c>
    </row>
    <row r="13" spans="1:131" ht="15" x14ac:dyDescent="0.25">
      <c r="A13" s="184" t="s">
        <v>197</v>
      </c>
      <c r="B13" s="184"/>
      <c r="C13" s="185"/>
      <c r="D13" s="185"/>
      <c r="E13" s="184"/>
      <c r="F13" s="184"/>
      <c r="G13" s="184"/>
      <c r="H13" s="383"/>
      <c r="I13" s="184"/>
      <c r="J13" s="403"/>
      <c r="K13" s="403"/>
      <c r="L13" s="403"/>
      <c r="M13" s="403"/>
      <c r="N13" s="403"/>
      <c r="O13" s="404"/>
    </row>
    <row r="14" spans="1:131" ht="30" x14ac:dyDescent="0.25">
      <c r="A14" s="482" t="s">
        <v>8</v>
      </c>
      <c r="B14" s="541" t="s">
        <v>7</v>
      </c>
      <c r="C14" s="482" t="s">
        <v>239</v>
      </c>
      <c r="D14" s="482" t="s">
        <v>238</v>
      </c>
      <c r="E14" s="327" t="s">
        <v>32</v>
      </c>
      <c r="F14" s="485" t="s">
        <v>44</v>
      </c>
      <c r="G14" s="482" t="s">
        <v>22</v>
      </c>
      <c r="H14" s="483">
        <v>41820</v>
      </c>
      <c r="I14" s="482" t="s">
        <v>132</v>
      </c>
      <c r="J14" s="88">
        <v>19.27</v>
      </c>
      <c r="K14" s="88">
        <v>-15.4</v>
      </c>
      <c r="L14" s="488">
        <v>3.8699999999999992</v>
      </c>
      <c r="M14" s="88"/>
      <c r="N14" s="88"/>
      <c r="O14" s="88"/>
    </row>
    <row r="15" spans="1:131" ht="30" x14ac:dyDescent="0.25">
      <c r="A15" s="485" t="s">
        <v>8</v>
      </c>
      <c r="B15" s="485" t="s">
        <v>193</v>
      </c>
      <c r="C15" s="485" t="s">
        <v>239</v>
      </c>
      <c r="D15" s="485" t="s">
        <v>238</v>
      </c>
      <c r="E15" s="485" t="s">
        <v>32</v>
      </c>
      <c r="F15" s="485" t="s">
        <v>44</v>
      </c>
      <c r="G15" s="485" t="s">
        <v>22</v>
      </c>
      <c r="H15" s="385">
        <v>42185</v>
      </c>
      <c r="I15" s="485" t="s">
        <v>133</v>
      </c>
      <c r="J15" s="379">
        <v>13.19</v>
      </c>
      <c r="K15" s="379">
        <v>0</v>
      </c>
      <c r="L15" s="489">
        <v>13.19</v>
      </c>
      <c r="M15" s="379"/>
      <c r="N15" s="379"/>
      <c r="O15" s="379"/>
    </row>
    <row r="16" spans="1:131" ht="30" x14ac:dyDescent="0.25">
      <c r="A16" s="482" t="s">
        <v>8</v>
      </c>
      <c r="B16" s="482" t="s">
        <v>193</v>
      </c>
      <c r="C16" s="482" t="s">
        <v>239</v>
      </c>
      <c r="D16" s="482" t="s">
        <v>238</v>
      </c>
      <c r="E16" s="482" t="s">
        <v>32</v>
      </c>
      <c r="F16" s="485" t="s">
        <v>44</v>
      </c>
      <c r="G16" s="482" t="s">
        <v>22</v>
      </c>
      <c r="H16" s="386">
        <v>42551</v>
      </c>
      <c r="I16" s="482" t="s">
        <v>300</v>
      </c>
      <c r="J16" s="380">
        <v>1.0900000000000001</v>
      </c>
      <c r="K16" s="380">
        <v>0</v>
      </c>
      <c r="L16" s="488">
        <v>1.0900000000000001</v>
      </c>
      <c r="M16" s="380"/>
      <c r="N16" s="380"/>
      <c r="O16" s="380"/>
    </row>
    <row r="17" spans="1:15" ht="30" x14ac:dyDescent="0.25">
      <c r="A17" s="485" t="s">
        <v>8</v>
      </c>
      <c r="B17" s="485" t="s">
        <v>193</v>
      </c>
      <c r="C17" s="485" t="s">
        <v>239</v>
      </c>
      <c r="D17" s="485" t="s">
        <v>238</v>
      </c>
      <c r="E17" s="485" t="s">
        <v>32</v>
      </c>
      <c r="F17" s="485" t="s">
        <v>44</v>
      </c>
      <c r="G17" s="485" t="s">
        <v>22</v>
      </c>
      <c r="H17" s="385">
        <v>42916</v>
      </c>
      <c r="I17" s="485" t="s">
        <v>345</v>
      </c>
      <c r="J17" s="379">
        <v>0</v>
      </c>
      <c r="K17" s="379">
        <v>0</v>
      </c>
      <c r="L17" s="490">
        <v>0</v>
      </c>
      <c r="M17" s="379"/>
      <c r="N17" s="379"/>
      <c r="O17" s="379"/>
    </row>
    <row r="18" spans="1:15" ht="15" x14ac:dyDescent="0.25">
      <c r="A18" s="181"/>
      <c r="B18" s="181"/>
      <c r="C18" s="181"/>
      <c r="D18" s="181"/>
      <c r="E18" s="182"/>
      <c r="F18" s="181"/>
      <c r="G18" s="181"/>
      <c r="H18" s="183" t="s">
        <v>206</v>
      </c>
      <c r="I18" s="181"/>
      <c r="J18" s="354">
        <v>33.550000000000004</v>
      </c>
      <c r="K18" s="354">
        <v>-15.4</v>
      </c>
      <c r="L18" s="354">
        <v>18.149999999999999</v>
      </c>
      <c r="M18" s="354">
        <v>19.182675999999997</v>
      </c>
      <c r="N18" s="354">
        <v>-1.0326759999999999</v>
      </c>
      <c r="O18" s="354">
        <v>35</v>
      </c>
    </row>
    <row r="19" spans="1:15" ht="15" x14ac:dyDescent="0.25">
      <c r="A19" s="181" t="s">
        <v>295</v>
      </c>
      <c r="B19" s="181"/>
      <c r="C19" s="181"/>
      <c r="D19" s="181"/>
      <c r="E19" s="182"/>
      <c r="F19" s="181"/>
      <c r="G19" s="181"/>
      <c r="H19" s="183"/>
      <c r="I19" s="181"/>
      <c r="J19" s="354"/>
      <c r="K19" s="354"/>
      <c r="L19" s="354"/>
      <c r="M19" s="354"/>
      <c r="N19" s="354"/>
      <c r="O19" s="354"/>
    </row>
    <row r="20" spans="1:15" ht="15" x14ac:dyDescent="0.25">
      <c r="A20" s="184" t="s">
        <v>327</v>
      </c>
      <c r="B20" s="184"/>
      <c r="C20" s="185"/>
      <c r="D20" s="185"/>
      <c r="E20" s="184"/>
      <c r="F20" s="184"/>
      <c r="G20" s="184"/>
      <c r="H20" s="383"/>
      <c r="I20" s="184"/>
      <c r="J20" s="459"/>
      <c r="K20" s="459"/>
      <c r="L20" s="459"/>
      <c r="M20" s="459"/>
      <c r="N20" s="459"/>
      <c r="O20" s="186"/>
    </row>
    <row r="21" spans="1:15" ht="30" x14ac:dyDescent="0.25">
      <c r="A21" s="482" t="s">
        <v>8</v>
      </c>
      <c r="B21" s="482" t="s">
        <v>7</v>
      </c>
      <c r="C21" s="482" t="s">
        <v>27</v>
      </c>
      <c r="D21" s="482" t="s">
        <v>127</v>
      </c>
      <c r="E21" s="327" t="s">
        <v>33</v>
      </c>
      <c r="F21" s="485" t="s">
        <v>44</v>
      </c>
      <c r="G21" s="482" t="s">
        <v>22</v>
      </c>
      <c r="H21" s="483">
        <v>41820</v>
      </c>
      <c r="I21" s="482" t="s">
        <v>138</v>
      </c>
      <c r="J21" s="88">
        <v>0.92112859999999996</v>
      </c>
      <c r="K21" s="88">
        <v>-0.92112859999999996</v>
      </c>
      <c r="L21" s="488">
        <v>0</v>
      </c>
      <c r="M21" s="486"/>
      <c r="N21" s="486"/>
      <c r="O21" s="486"/>
    </row>
    <row r="22" spans="1:15" ht="30" x14ac:dyDescent="0.25">
      <c r="A22" s="482" t="s">
        <v>8</v>
      </c>
      <c r="B22" s="485" t="s">
        <v>7</v>
      </c>
      <c r="C22" s="485" t="s">
        <v>27</v>
      </c>
      <c r="D22" s="485" t="s">
        <v>127</v>
      </c>
      <c r="E22" s="485" t="s">
        <v>33</v>
      </c>
      <c r="F22" s="485" t="s">
        <v>44</v>
      </c>
      <c r="G22" s="485" t="s">
        <v>22</v>
      </c>
      <c r="H22" s="385">
        <v>42185</v>
      </c>
      <c r="I22" s="485" t="s">
        <v>139</v>
      </c>
      <c r="J22" s="379"/>
      <c r="K22" s="379"/>
      <c r="L22" s="489">
        <v>0</v>
      </c>
      <c r="M22" s="484"/>
      <c r="N22" s="484"/>
      <c r="O22" s="484"/>
    </row>
    <row r="23" spans="1:15" ht="30" x14ac:dyDescent="0.25">
      <c r="A23" s="482" t="s">
        <v>8</v>
      </c>
      <c r="B23" s="482" t="s">
        <v>7</v>
      </c>
      <c r="C23" s="482" t="s">
        <v>27</v>
      </c>
      <c r="D23" s="482" t="s">
        <v>127</v>
      </c>
      <c r="E23" s="482" t="s">
        <v>33</v>
      </c>
      <c r="F23" s="485" t="s">
        <v>44</v>
      </c>
      <c r="G23" s="482" t="s">
        <v>22</v>
      </c>
      <c r="H23" s="386">
        <v>42551</v>
      </c>
      <c r="I23" s="482" t="s">
        <v>301</v>
      </c>
      <c r="J23" s="380"/>
      <c r="K23" s="380"/>
      <c r="L23" s="488">
        <v>0</v>
      </c>
      <c r="M23" s="487"/>
      <c r="N23" s="487"/>
      <c r="O23" s="487"/>
    </row>
    <row r="24" spans="1:15" ht="30" x14ac:dyDescent="0.25">
      <c r="A24" s="482" t="s">
        <v>8</v>
      </c>
      <c r="B24" s="485" t="s">
        <v>7</v>
      </c>
      <c r="C24" s="485" t="s">
        <v>27</v>
      </c>
      <c r="D24" s="485" t="s">
        <v>127</v>
      </c>
      <c r="E24" s="485" t="s">
        <v>33</v>
      </c>
      <c r="F24" s="485" t="s">
        <v>44</v>
      </c>
      <c r="G24" s="485" t="s">
        <v>22</v>
      </c>
      <c r="H24" s="385">
        <v>42916</v>
      </c>
      <c r="I24" s="485" t="s">
        <v>346</v>
      </c>
      <c r="J24" s="379"/>
      <c r="K24" s="379"/>
      <c r="L24" s="490">
        <v>0</v>
      </c>
      <c r="M24" s="484"/>
      <c r="N24" s="484"/>
      <c r="O24" s="484"/>
    </row>
    <row r="25" spans="1:15" ht="15" x14ac:dyDescent="0.25">
      <c r="A25" s="181" t="s">
        <v>324</v>
      </c>
      <c r="B25" s="181"/>
      <c r="C25" s="181"/>
      <c r="D25" s="181"/>
      <c r="E25" s="182"/>
      <c r="F25" s="181"/>
      <c r="G25" s="181"/>
      <c r="H25" s="183" t="s">
        <v>206</v>
      </c>
      <c r="I25" s="181"/>
      <c r="J25" s="354">
        <v>0.92112859999999996</v>
      </c>
      <c r="K25" s="354">
        <v>-0.92112859999999996</v>
      </c>
      <c r="L25" s="354">
        <v>0</v>
      </c>
      <c r="M25" s="354">
        <v>1.7952399999999875E-4</v>
      </c>
      <c r="N25" s="354">
        <v>-1.7952399999999875E-4</v>
      </c>
      <c r="O25" s="354"/>
    </row>
    <row r="26" spans="1:15" ht="15" x14ac:dyDescent="0.25">
      <c r="A26" s="181"/>
      <c r="B26" s="181"/>
      <c r="C26" s="181"/>
      <c r="D26" s="181"/>
      <c r="E26" s="182"/>
      <c r="F26" s="181"/>
      <c r="G26" s="181"/>
      <c r="H26" s="183"/>
      <c r="I26" s="181"/>
      <c r="J26" s="354"/>
      <c r="K26" s="354"/>
      <c r="L26" s="354"/>
      <c r="M26" s="354"/>
      <c r="N26" s="354"/>
      <c r="O26" s="354"/>
    </row>
    <row r="27" spans="1:15" ht="15" x14ac:dyDescent="0.25">
      <c r="A27" s="184" t="s">
        <v>328</v>
      </c>
      <c r="B27" s="184"/>
      <c r="C27" s="185"/>
      <c r="D27" s="185"/>
      <c r="E27" s="184"/>
      <c r="F27" s="184"/>
      <c r="G27" s="184"/>
      <c r="H27" s="383"/>
      <c r="I27" s="184"/>
      <c r="J27" s="459"/>
      <c r="K27" s="459"/>
      <c r="L27" s="459"/>
      <c r="M27" s="459"/>
      <c r="N27" s="459"/>
      <c r="O27" s="186"/>
    </row>
    <row r="28" spans="1:15" ht="30" x14ac:dyDescent="0.25">
      <c r="A28" s="482" t="s">
        <v>8</v>
      </c>
      <c r="B28" s="482" t="s">
        <v>7</v>
      </c>
      <c r="C28" s="482" t="s">
        <v>92</v>
      </c>
      <c r="D28" s="482" t="s">
        <v>128</v>
      </c>
      <c r="E28" s="327" t="s">
        <v>33</v>
      </c>
      <c r="F28" s="327" t="s">
        <v>45</v>
      </c>
      <c r="G28" s="482" t="s">
        <v>22</v>
      </c>
      <c r="H28" s="483">
        <v>41820</v>
      </c>
      <c r="I28" s="482" t="s">
        <v>138</v>
      </c>
      <c r="J28" s="88">
        <v>3.32167952</v>
      </c>
      <c r="K28" s="88">
        <v>-2.2260907200000002</v>
      </c>
      <c r="L28" s="488">
        <v>1.0955887999999998</v>
      </c>
      <c r="M28" s="379"/>
      <c r="N28" s="379"/>
      <c r="O28" s="379"/>
    </row>
    <row r="29" spans="1:15" ht="30" x14ac:dyDescent="0.25">
      <c r="A29" s="485" t="s">
        <v>8</v>
      </c>
      <c r="B29" s="485" t="s">
        <v>7</v>
      </c>
      <c r="C29" s="485" t="s">
        <v>92</v>
      </c>
      <c r="D29" s="485" t="s">
        <v>128</v>
      </c>
      <c r="E29" s="485" t="s">
        <v>33</v>
      </c>
      <c r="F29" s="485" t="s">
        <v>45</v>
      </c>
      <c r="G29" s="485" t="s">
        <v>22</v>
      </c>
      <c r="H29" s="385">
        <v>42185</v>
      </c>
      <c r="I29" s="485" t="s">
        <v>139</v>
      </c>
      <c r="J29" s="379">
        <v>1.5495680000000001</v>
      </c>
      <c r="K29" s="379">
        <v>0</v>
      </c>
      <c r="L29" s="489">
        <v>1.5495680000000001</v>
      </c>
      <c r="M29" s="380"/>
      <c r="N29" s="380"/>
      <c r="O29" s="380"/>
    </row>
    <row r="30" spans="1:15" ht="30" x14ac:dyDescent="0.25">
      <c r="A30" s="482" t="s">
        <v>8</v>
      </c>
      <c r="B30" s="482" t="s">
        <v>7</v>
      </c>
      <c r="C30" s="482" t="s">
        <v>92</v>
      </c>
      <c r="D30" s="482" t="s">
        <v>128</v>
      </c>
      <c r="E30" s="482" t="s">
        <v>33</v>
      </c>
      <c r="F30" s="482" t="s">
        <v>45</v>
      </c>
      <c r="G30" s="482" t="s">
        <v>22</v>
      </c>
      <c r="H30" s="386">
        <v>42551</v>
      </c>
      <c r="I30" s="482" t="s">
        <v>301</v>
      </c>
      <c r="J30" s="380">
        <v>0.72236800000000001</v>
      </c>
      <c r="K30" s="380">
        <v>0</v>
      </c>
      <c r="L30" s="488">
        <v>0.72236800000000001</v>
      </c>
      <c r="M30" s="379"/>
      <c r="N30" s="379"/>
      <c r="O30" s="379"/>
    </row>
    <row r="31" spans="1:15" ht="30" x14ac:dyDescent="0.25">
      <c r="A31" s="485" t="s">
        <v>8</v>
      </c>
      <c r="B31" s="485" t="s">
        <v>7</v>
      </c>
      <c r="C31" s="485" t="s">
        <v>92</v>
      </c>
      <c r="D31" s="485" t="s">
        <v>128</v>
      </c>
      <c r="E31" s="485" t="s">
        <v>33</v>
      </c>
      <c r="F31" s="485" t="s">
        <v>45</v>
      </c>
      <c r="G31" s="485" t="s">
        <v>22</v>
      </c>
      <c r="H31" s="385">
        <v>42916</v>
      </c>
      <c r="I31" s="485" t="s">
        <v>346</v>
      </c>
      <c r="J31" s="379">
        <v>0</v>
      </c>
      <c r="K31" s="379">
        <v>0</v>
      </c>
      <c r="L31" s="490">
        <v>0</v>
      </c>
      <c r="M31" s="380"/>
      <c r="N31" s="380"/>
      <c r="O31" s="380"/>
    </row>
    <row r="32" spans="1:15" ht="15" x14ac:dyDescent="0.25">
      <c r="A32" s="181" t="s">
        <v>325</v>
      </c>
      <c r="B32" s="181"/>
      <c r="C32" s="181"/>
      <c r="D32" s="181"/>
      <c r="E32" s="182"/>
      <c r="F32" s="181"/>
      <c r="G32" s="181"/>
      <c r="H32" s="183" t="s">
        <v>206</v>
      </c>
      <c r="I32" s="181"/>
      <c r="J32" s="354">
        <v>5.5936155200000002</v>
      </c>
      <c r="K32" s="354">
        <v>-2.2260907200000002</v>
      </c>
      <c r="L32" s="354">
        <v>3.3675247999999995</v>
      </c>
      <c r="M32" s="354">
        <v>3.8484497999999996</v>
      </c>
      <c r="N32" s="354">
        <v>-0.48092499999999999</v>
      </c>
      <c r="O32" s="354"/>
    </row>
    <row r="33" spans="1:15" ht="30" x14ac:dyDescent="0.25">
      <c r="A33" s="181" t="s">
        <v>331</v>
      </c>
      <c r="B33" s="181"/>
      <c r="C33" s="181"/>
      <c r="D33" s="181"/>
      <c r="E33" s="182"/>
      <c r="F33" s="181"/>
      <c r="G33" s="181"/>
      <c r="H33" s="183"/>
      <c r="I33" s="181"/>
      <c r="J33" s="354">
        <f>J32 + J25</f>
        <v>6.5147441200000005</v>
      </c>
      <c r="K33" s="354">
        <f>K32 + K25</f>
        <v>-3.14721932</v>
      </c>
      <c r="L33" s="354">
        <f>L32 + L25</f>
        <v>3.3675247999999995</v>
      </c>
      <c r="M33" s="354">
        <f>M32 + M25</f>
        <v>3.8486293239999996</v>
      </c>
      <c r="N33" s="354">
        <f>IF(AND(N32&gt;0, N25&gt;0),N32 + N25,IF(AND(N32&gt;0, N25&lt;=0),N32,IF(AND(N32&lt;0, N25&gt;=0), N25,0)))</f>
        <v>0</v>
      </c>
      <c r="O33" s="354"/>
    </row>
    <row r="34" spans="1:15" ht="15" x14ac:dyDescent="0.25">
      <c r="A34" s="184" t="s">
        <v>298</v>
      </c>
      <c r="B34" s="184"/>
      <c r="C34" s="185"/>
      <c r="D34" s="185"/>
      <c r="E34" s="184"/>
      <c r="F34" s="184"/>
      <c r="G34" s="184"/>
      <c r="H34" s="383"/>
      <c r="I34" s="184"/>
      <c r="J34" s="403"/>
      <c r="K34" s="403"/>
      <c r="L34" s="403"/>
      <c r="M34" s="403"/>
      <c r="N34" s="403"/>
      <c r="O34" s="404"/>
    </row>
    <row r="35" spans="1:15" ht="15" x14ac:dyDescent="0.25">
      <c r="A35" s="901" t="s">
        <v>325</v>
      </c>
      <c r="B35" s="902"/>
      <c r="C35" s="902"/>
      <c r="D35" s="902"/>
      <c r="E35" s="902"/>
      <c r="F35" s="902"/>
      <c r="G35" s="902"/>
      <c r="H35" s="902"/>
      <c r="I35" s="902"/>
      <c r="J35" s="902"/>
      <c r="K35" s="902"/>
      <c r="L35" s="902"/>
      <c r="M35" s="902"/>
      <c r="N35" s="902"/>
      <c r="O35" s="903"/>
    </row>
    <row r="36" spans="1:15" ht="60" x14ac:dyDescent="0.25">
      <c r="A36" s="176" t="s">
        <v>89</v>
      </c>
      <c r="B36" s="176" t="s">
        <v>90</v>
      </c>
      <c r="C36" s="177" t="s">
        <v>0</v>
      </c>
      <c r="D36" s="177" t="s">
        <v>124</v>
      </c>
      <c r="E36" s="176" t="s">
        <v>143</v>
      </c>
      <c r="F36" s="176" t="s">
        <v>144</v>
      </c>
      <c r="G36" s="176" t="s">
        <v>13</v>
      </c>
      <c r="H36" s="382" t="s">
        <v>88</v>
      </c>
      <c r="I36" s="176" t="s">
        <v>12</v>
      </c>
      <c r="J36" s="400" t="s">
        <v>200</v>
      </c>
      <c r="K36" s="400" t="s">
        <v>199</v>
      </c>
      <c r="L36" s="400" t="s">
        <v>201</v>
      </c>
      <c r="M36" s="400" t="s">
        <v>149</v>
      </c>
      <c r="N36" s="400" t="s">
        <v>179</v>
      </c>
      <c r="O36" s="400" t="s">
        <v>304</v>
      </c>
    </row>
    <row r="37" spans="1:15" ht="30" x14ac:dyDescent="0.25">
      <c r="A37" s="485" t="s">
        <v>84</v>
      </c>
      <c r="B37" s="485" t="s">
        <v>9</v>
      </c>
      <c r="C37" s="485" t="s">
        <v>183</v>
      </c>
      <c r="D37" s="485" t="s">
        <v>142</v>
      </c>
      <c r="E37" s="329" t="s">
        <v>142</v>
      </c>
      <c r="F37" s="485" t="s">
        <v>142</v>
      </c>
      <c r="G37" s="485" t="s">
        <v>22</v>
      </c>
      <c r="H37" s="93">
        <v>41449</v>
      </c>
      <c r="I37" s="485" t="s">
        <v>172</v>
      </c>
      <c r="J37" s="96">
        <v>7.0349999999999996E-2</v>
      </c>
      <c r="K37" s="96" t="s">
        <v>299</v>
      </c>
      <c r="L37" s="292">
        <v>7.0349999999999996E-2</v>
      </c>
      <c r="M37" s="292">
        <f>+O37*50000/1000000</f>
        <v>6.6104999999999997E-2</v>
      </c>
      <c r="N37" s="292">
        <f>M37-L37</f>
        <v>-4.2449999999999988E-3</v>
      </c>
      <c r="O37" s="486">
        <v>1.3221000000000001</v>
      </c>
    </row>
    <row r="38" spans="1:15" ht="30" x14ac:dyDescent="0.25">
      <c r="A38" s="111" t="s">
        <v>297</v>
      </c>
      <c r="B38" s="99"/>
      <c r="C38" s="2"/>
      <c r="D38" s="2"/>
      <c r="E38" s="2"/>
      <c r="F38" s="2"/>
      <c r="G38" s="2"/>
      <c r="H38" s="3"/>
      <c r="I38" s="2"/>
      <c r="J38" s="293"/>
      <c r="K38" s="293"/>
      <c r="L38" s="491">
        <f>L37</f>
        <v>7.0349999999999996E-2</v>
      </c>
      <c r="M38" s="144"/>
      <c r="N38" s="491">
        <f>IF(N37&gt;0,N37,0)</f>
        <v>0</v>
      </c>
      <c r="O38" s="144"/>
    </row>
    <row r="39" spans="1:15" ht="15" x14ac:dyDescent="0.25">
      <c r="A39" s="99"/>
      <c r="B39" s="99"/>
      <c r="C39" s="99"/>
      <c r="D39" s="99"/>
      <c r="E39" s="99"/>
      <c r="F39" s="99"/>
      <c r="G39" s="99"/>
      <c r="H39" s="388"/>
      <c r="I39" s="99"/>
      <c r="J39" s="144"/>
      <c r="K39" s="144"/>
      <c r="L39" s="144"/>
      <c r="M39" s="144"/>
      <c r="N39" s="144"/>
      <c r="O39" s="144"/>
    </row>
    <row r="40" spans="1:15" ht="15" x14ac:dyDescent="0.25">
      <c r="A40" s="99"/>
      <c r="B40" s="99"/>
      <c r="C40" s="99"/>
      <c r="D40" s="99"/>
      <c r="E40" s="99"/>
      <c r="F40" s="99"/>
      <c r="G40" s="99"/>
      <c r="H40" s="388"/>
      <c r="I40" s="99"/>
      <c r="J40" s="77"/>
      <c r="K40" s="144"/>
      <c r="L40" s="144"/>
      <c r="M40" s="77"/>
      <c r="N40" s="77"/>
      <c r="O40" s="77"/>
    </row>
    <row r="41" spans="1:15" ht="15" x14ac:dyDescent="0.25">
      <c r="A41" s="99"/>
      <c r="B41" s="99"/>
      <c r="C41" s="99"/>
      <c r="D41" s="99"/>
      <c r="E41" s="99"/>
      <c r="F41" s="99"/>
      <c r="G41" s="99"/>
      <c r="H41" s="388"/>
      <c r="I41" s="99"/>
      <c r="J41" s="77"/>
      <c r="K41" s="77"/>
      <c r="L41" s="77"/>
      <c r="M41" s="77"/>
      <c r="N41" s="77"/>
      <c r="O41" s="77"/>
    </row>
    <row r="42" spans="1:15" ht="15" x14ac:dyDescent="0.25">
      <c r="A42" s="99"/>
      <c r="B42" s="99"/>
      <c r="C42" s="99"/>
      <c r="D42" s="99"/>
      <c r="E42" s="99"/>
      <c r="F42" s="99"/>
      <c r="G42" s="99"/>
      <c r="H42" s="388"/>
      <c r="I42" s="99"/>
      <c r="J42" s="77"/>
      <c r="K42" s="77"/>
      <c r="L42" s="77"/>
      <c r="M42" s="77"/>
      <c r="N42" s="77"/>
      <c r="O42" s="77"/>
    </row>
    <row r="43" spans="1:15" ht="15" x14ac:dyDescent="0.25">
      <c r="A43" s="99"/>
      <c r="B43" s="99"/>
      <c r="C43" s="99"/>
      <c r="D43" s="99"/>
      <c r="E43" s="99"/>
      <c r="F43" s="99"/>
      <c r="G43" s="99"/>
      <c r="H43" s="388"/>
      <c r="I43" s="99"/>
      <c r="J43" s="77"/>
      <c r="K43" s="77"/>
      <c r="L43" s="77"/>
      <c r="M43" s="77"/>
      <c r="N43" s="77"/>
      <c r="O43" s="77"/>
    </row>
    <row r="44" spans="1:15" ht="15" x14ac:dyDescent="0.25">
      <c r="A44" s="99"/>
      <c r="B44" s="99"/>
      <c r="C44" s="99"/>
      <c r="D44" s="99"/>
      <c r="E44" s="99"/>
      <c r="F44" s="99"/>
      <c r="G44" s="99"/>
      <c r="H44" s="388"/>
      <c r="I44" s="99"/>
      <c r="J44" s="77"/>
      <c r="K44" s="77"/>
      <c r="L44" s="77"/>
      <c r="M44" s="77"/>
      <c r="N44" s="77"/>
      <c r="O44" s="77"/>
    </row>
    <row r="45" spans="1:15" ht="15" x14ac:dyDescent="0.25">
      <c r="A45" s="99"/>
      <c r="B45" s="99"/>
      <c r="C45" s="99"/>
      <c r="D45" s="99"/>
      <c r="E45" s="99"/>
      <c r="F45" s="99"/>
      <c r="G45" s="99"/>
      <c r="H45" s="388"/>
      <c r="I45" s="99"/>
      <c r="J45" s="77"/>
      <c r="K45" s="77"/>
      <c r="L45" s="77"/>
      <c r="M45" s="77"/>
      <c r="N45" s="77"/>
      <c r="O45" s="77"/>
    </row>
    <row r="46" spans="1:15" ht="15" x14ac:dyDescent="0.25">
      <c r="A46" s="99"/>
      <c r="B46" s="99"/>
      <c r="C46" s="99"/>
      <c r="D46" s="99"/>
      <c r="E46" s="99"/>
      <c r="F46" s="99"/>
      <c r="G46" s="99"/>
      <c r="H46" s="388"/>
      <c r="I46" s="99"/>
      <c r="J46" s="77"/>
      <c r="K46" s="77"/>
      <c r="L46" s="77"/>
      <c r="M46" s="77"/>
      <c r="N46" s="77"/>
      <c r="O46" s="77"/>
    </row>
    <row r="47" spans="1:15" ht="15.6" thickBot="1" x14ac:dyDescent="0.3">
      <c r="A47" s="904"/>
      <c r="B47" s="904"/>
      <c r="C47" s="904"/>
      <c r="D47" s="904"/>
      <c r="E47" s="904"/>
      <c r="F47" s="904"/>
      <c r="G47" s="904"/>
      <c r="H47" s="904"/>
      <c r="I47" s="904"/>
      <c r="J47" s="904"/>
      <c r="K47" s="904"/>
      <c r="L47" s="904"/>
      <c r="M47" s="904"/>
      <c r="N47" s="904"/>
      <c r="O47" s="904"/>
    </row>
    <row r="48" spans="1:15" ht="15.6" x14ac:dyDescent="0.3">
      <c r="A48" s="905"/>
      <c r="B48" s="905"/>
      <c r="C48" s="905"/>
      <c r="D48" s="905"/>
      <c r="E48" s="905"/>
      <c r="F48" s="905"/>
      <c r="G48" s="99"/>
      <c r="H48" s="388"/>
      <c r="I48" s="99"/>
      <c r="J48" s="77"/>
      <c r="K48" s="77"/>
      <c r="L48" s="77"/>
      <c r="M48" s="77"/>
      <c r="N48" s="77"/>
      <c r="O48" s="77"/>
    </row>
    <row r="49" spans="1:15" ht="15.6" x14ac:dyDescent="0.3">
      <c r="A49" s="202"/>
      <c r="B49" s="203"/>
      <c r="C49" s="203"/>
      <c r="D49" s="202"/>
      <c r="E49" s="202"/>
      <c r="F49" s="202"/>
      <c r="G49" s="99"/>
      <c r="H49" s="384"/>
      <c r="I49" s="99"/>
      <c r="J49" s="77"/>
      <c r="K49" s="77"/>
      <c r="L49" s="77"/>
      <c r="M49" s="77"/>
      <c r="N49" s="77"/>
      <c r="O49" s="77"/>
    </row>
    <row r="50" spans="1:15" ht="15" x14ac:dyDescent="0.25">
      <c r="A50" s="391"/>
      <c r="B50" s="391"/>
      <c r="C50" s="391"/>
      <c r="D50" s="391"/>
      <c r="E50" s="391"/>
      <c r="F50" s="391"/>
      <c r="G50" s="99"/>
      <c r="H50" s="388"/>
      <c r="I50" s="99"/>
      <c r="J50" s="77"/>
      <c r="K50" s="77"/>
      <c r="L50" s="77"/>
      <c r="M50" s="77"/>
      <c r="N50" s="77"/>
      <c r="O50" s="77"/>
    </row>
    <row r="51" spans="1:15" ht="15" x14ac:dyDescent="0.25">
      <c r="A51" s="395"/>
      <c r="B51" s="392"/>
      <c r="C51" s="392"/>
      <c r="D51" s="392"/>
      <c r="E51" s="392"/>
      <c r="F51" s="205"/>
      <c r="G51" s="99"/>
      <c r="H51" s="388"/>
      <c r="I51" s="99"/>
      <c r="J51" s="77"/>
      <c r="K51" s="77"/>
      <c r="L51" s="77"/>
      <c r="M51" s="77"/>
      <c r="N51" s="77"/>
      <c r="O51" s="77"/>
    </row>
    <row r="52" spans="1:15" ht="15" x14ac:dyDescent="0.25">
      <c r="A52" s="395"/>
      <c r="B52" s="392"/>
      <c r="C52" s="392"/>
      <c r="D52" s="392"/>
      <c r="E52" s="392"/>
      <c r="F52" s="205"/>
      <c r="G52" s="99"/>
      <c r="H52" s="388"/>
      <c r="I52" s="99"/>
      <c r="J52" s="77"/>
      <c r="K52" s="77"/>
      <c r="L52" s="77"/>
      <c r="M52" s="77"/>
      <c r="N52" s="77"/>
      <c r="O52" s="77"/>
    </row>
    <row r="53" spans="1:15" ht="15" x14ac:dyDescent="0.25">
      <c r="A53" s="391"/>
      <c r="B53" s="392"/>
      <c r="C53" s="392"/>
      <c r="D53" s="392"/>
      <c r="E53" s="392"/>
      <c r="F53" s="205"/>
      <c r="G53" s="99"/>
      <c r="H53" s="388"/>
      <c r="I53" s="99"/>
      <c r="J53" s="77"/>
      <c r="K53" s="77"/>
      <c r="L53" s="77"/>
      <c r="M53" s="77"/>
      <c r="N53" s="77"/>
      <c r="O53" s="77"/>
    </row>
    <row r="54" spans="1:15" ht="15" x14ac:dyDescent="0.25">
      <c r="A54" s="395"/>
      <c r="B54" s="392"/>
      <c r="C54" s="392"/>
      <c r="D54" s="392"/>
      <c r="E54" s="392"/>
      <c r="F54" s="205"/>
      <c r="G54" s="99"/>
      <c r="H54" s="388"/>
      <c r="I54" s="99"/>
      <c r="J54" s="77"/>
      <c r="K54" s="77"/>
      <c r="L54" s="77"/>
      <c r="M54" s="77"/>
      <c r="N54" s="77"/>
      <c r="O54" s="77"/>
    </row>
    <row r="55" spans="1:15" ht="15" x14ac:dyDescent="0.25">
      <c r="A55" s="391"/>
      <c r="B55" s="392"/>
      <c r="C55" s="392"/>
      <c r="D55" s="392"/>
      <c r="E55" s="392"/>
      <c r="F55" s="205"/>
      <c r="G55" s="99"/>
      <c r="H55" s="388"/>
      <c r="I55" s="99"/>
      <c r="J55" s="77"/>
      <c r="K55" s="77"/>
      <c r="L55" s="77"/>
      <c r="M55" s="77"/>
      <c r="N55" s="77"/>
      <c r="O55" s="77"/>
    </row>
    <row r="56" spans="1:15" ht="15" x14ac:dyDescent="0.25">
      <c r="A56" s="391"/>
      <c r="B56" s="392"/>
      <c r="C56" s="392"/>
      <c r="D56" s="392"/>
      <c r="E56" s="392"/>
      <c r="F56" s="205"/>
      <c r="G56" s="99"/>
      <c r="H56" s="388"/>
      <c r="I56" s="99"/>
      <c r="J56" s="77"/>
      <c r="K56" s="77"/>
      <c r="L56" s="77"/>
      <c r="M56" s="77"/>
      <c r="N56" s="77"/>
      <c r="O56" s="77"/>
    </row>
    <row r="57" spans="1:15" ht="16.8" x14ac:dyDescent="0.4">
      <c r="A57" s="391"/>
      <c r="B57" s="393"/>
      <c r="C57" s="393"/>
      <c r="D57" s="393"/>
      <c r="E57" s="393"/>
      <c r="F57" s="207"/>
      <c r="G57" s="99"/>
      <c r="H57" s="389"/>
      <c r="I57" s="99"/>
      <c r="J57" s="77"/>
      <c r="K57" s="77"/>
      <c r="L57" s="77"/>
      <c r="M57" s="77"/>
      <c r="N57" s="77"/>
      <c r="O57" s="77"/>
    </row>
    <row r="58" spans="1:15" ht="16.8" x14ac:dyDescent="0.4">
      <c r="A58" s="391"/>
      <c r="B58" s="394"/>
      <c r="C58" s="394"/>
      <c r="D58" s="394"/>
      <c r="E58" s="394"/>
      <c r="F58" s="210"/>
      <c r="G58" s="99"/>
      <c r="H58" s="390"/>
      <c r="I58" s="99"/>
      <c r="J58" s="77"/>
      <c r="K58" s="77"/>
      <c r="L58" s="77"/>
      <c r="M58" s="77"/>
      <c r="N58" s="77"/>
      <c r="O58" s="77"/>
    </row>
    <row r="59" spans="1:15" ht="15" x14ac:dyDescent="0.25">
      <c r="A59" s="391"/>
      <c r="B59" s="391"/>
      <c r="C59" s="391"/>
      <c r="D59" s="391"/>
      <c r="E59" s="391"/>
      <c r="F59" s="391"/>
      <c r="G59" s="99"/>
      <c r="H59" s="388"/>
      <c r="I59" s="99"/>
      <c r="J59" s="77"/>
      <c r="K59" s="77"/>
      <c r="L59" s="77"/>
      <c r="M59" s="77"/>
      <c r="N59" s="77"/>
      <c r="O59" s="77"/>
    </row>
    <row r="60" spans="1:15" ht="15" x14ac:dyDescent="0.25">
      <c r="A60" s="99"/>
      <c r="B60" s="99"/>
      <c r="C60" s="99"/>
      <c r="D60" s="99"/>
      <c r="E60" s="99"/>
      <c r="F60" s="99"/>
      <c r="G60" s="99"/>
      <c r="H60" s="388"/>
      <c r="I60" s="99"/>
      <c r="J60" s="77"/>
      <c r="K60" s="77"/>
      <c r="L60" s="77"/>
      <c r="M60" s="77"/>
      <c r="N60" s="77"/>
      <c r="O60" s="77"/>
    </row>
    <row r="61" spans="1:15" ht="15" x14ac:dyDescent="0.25">
      <c r="A61" s="99"/>
      <c r="B61" s="99"/>
      <c r="C61" s="99"/>
      <c r="D61" s="99"/>
      <c r="E61" s="99"/>
      <c r="F61" s="99"/>
      <c r="G61" s="99"/>
      <c r="H61" s="388"/>
      <c r="I61" s="99"/>
      <c r="J61" s="77"/>
      <c r="K61" s="77"/>
      <c r="L61" s="77"/>
      <c r="M61" s="77"/>
      <c r="N61" s="77"/>
      <c r="O61" s="77"/>
    </row>
    <row r="62" spans="1:15" ht="15" x14ac:dyDescent="0.25">
      <c r="A62" s="99"/>
      <c r="B62" s="99"/>
      <c r="C62" s="99"/>
      <c r="D62" s="99"/>
      <c r="E62" s="99"/>
      <c r="F62" s="99"/>
      <c r="G62" s="99"/>
      <c r="H62" s="388"/>
      <c r="I62" s="99"/>
      <c r="J62" s="77"/>
      <c r="K62" s="77"/>
      <c r="L62" s="77"/>
      <c r="M62" s="77"/>
      <c r="N62" s="77"/>
      <c r="O62" s="77"/>
    </row>
    <row r="63" spans="1:15" ht="15" x14ac:dyDescent="0.25">
      <c r="A63" s="99"/>
      <c r="B63" s="99"/>
      <c r="C63" s="99"/>
      <c r="D63" s="99"/>
      <c r="E63" s="99"/>
      <c r="F63" s="99"/>
      <c r="G63" s="99"/>
      <c r="H63" s="388"/>
      <c r="I63" s="99"/>
      <c r="J63" s="77"/>
      <c r="K63" s="77"/>
      <c r="L63" s="77"/>
      <c r="M63" s="77"/>
      <c r="N63" s="77"/>
      <c r="O63" s="77"/>
    </row>
    <row r="64" spans="1:15" ht="15" x14ac:dyDescent="0.25">
      <c r="A64" s="99"/>
      <c r="B64" s="99"/>
      <c r="C64" s="99"/>
      <c r="D64" s="99"/>
      <c r="E64" s="99"/>
      <c r="F64" s="99"/>
      <c r="G64" s="99"/>
      <c r="H64" s="388"/>
      <c r="I64" s="99"/>
      <c r="J64" s="77"/>
      <c r="K64" s="77"/>
      <c r="L64" s="77"/>
      <c r="M64" s="77"/>
      <c r="N64" s="77"/>
      <c r="O64" s="77"/>
    </row>
    <row r="65" spans="1:15" ht="15" x14ac:dyDescent="0.25">
      <c r="A65" s="99"/>
      <c r="B65" s="99"/>
      <c r="C65" s="99"/>
      <c r="D65" s="99"/>
      <c r="E65" s="99"/>
      <c r="F65" s="99"/>
      <c r="G65" s="99"/>
      <c r="H65" s="388"/>
      <c r="I65" s="99"/>
      <c r="J65" s="77"/>
      <c r="K65" s="77"/>
      <c r="L65" s="77"/>
      <c r="M65" s="77"/>
      <c r="N65" s="77"/>
      <c r="O65" s="77"/>
    </row>
    <row r="66" spans="1:15" ht="15" x14ac:dyDescent="0.25">
      <c r="A66" s="99"/>
      <c r="B66" s="99"/>
      <c r="C66" s="99"/>
      <c r="D66" s="99"/>
      <c r="E66" s="99"/>
      <c r="F66" s="99"/>
      <c r="G66" s="99"/>
      <c r="H66" s="388"/>
      <c r="I66" s="99"/>
      <c r="J66" s="77"/>
      <c r="K66" s="77"/>
      <c r="L66" s="77"/>
      <c r="M66" s="77"/>
      <c r="N66" s="77"/>
      <c r="O66" s="77"/>
    </row>
    <row r="67" spans="1:15" ht="15" x14ac:dyDescent="0.25">
      <c r="A67" s="99"/>
      <c r="B67" s="99"/>
      <c r="C67" s="99"/>
      <c r="D67" s="99"/>
      <c r="E67" s="99"/>
      <c r="F67" s="99"/>
      <c r="G67" s="99"/>
      <c r="H67" s="388"/>
      <c r="I67" s="99"/>
      <c r="J67" s="77"/>
      <c r="K67" s="77"/>
      <c r="L67" s="77"/>
      <c r="M67" s="77"/>
      <c r="N67" s="77"/>
      <c r="O67" s="77"/>
    </row>
    <row r="68" spans="1:15" ht="15" x14ac:dyDescent="0.25">
      <c r="A68" s="99"/>
      <c r="B68" s="99"/>
      <c r="C68" s="99"/>
      <c r="D68" s="99"/>
      <c r="E68" s="99"/>
      <c r="F68" s="99"/>
      <c r="G68" s="99"/>
      <c r="H68" s="388"/>
      <c r="I68" s="99"/>
      <c r="J68" s="77"/>
      <c r="K68" s="77"/>
      <c r="L68" s="77"/>
      <c r="M68" s="77"/>
      <c r="N68" s="77"/>
      <c r="O68" s="77"/>
    </row>
    <row r="69" spans="1:15" ht="15" x14ac:dyDescent="0.25">
      <c r="A69" s="99"/>
      <c r="B69" s="99"/>
      <c r="C69" s="99"/>
      <c r="D69" s="99"/>
      <c r="E69" s="99"/>
      <c r="F69" s="99"/>
      <c r="G69" s="99"/>
      <c r="H69" s="388"/>
      <c r="I69" s="99"/>
      <c r="J69" s="77"/>
      <c r="K69" s="77"/>
      <c r="L69" s="77"/>
      <c r="M69" s="77"/>
      <c r="N69" s="77"/>
      <c r="O69" s="77"/>
    </row>
    <row r="70" spans="1:15" ht="15" x14ac:dyDescent="0.25">
      <c r="A70" s="99"/>
      <c r="B70" s="99"/>
      <c r="C70" s="99"/>
      <c r="D70" s="99"/>
      <c r="E70" s="99"/>
      <c r="F70" s="99"/>
      <c r="G70" s="99"/>
      <c r="H70" s="388"/>
      <c r="I70" s="99"/>
      <c r="J70" s="77"/>
      <c r="K70" s="77"/>
      <c r="L70" s="77"/>
      <c r="M70" s="77"/>
      <c r="N70" s="77"/>
      <c r="O70" s="77"/>
    </row>
    <row r="71" spans="1:15" ht="15" x14ac:dyDescent="0.25">
      <c r="A71" s="99"/>
      <c r="B71" s="99"/>
      <c r="C71" s="99"/>
      <c r="D71" s="99"/>
      <c r="E71" s="99"/>
      <c r="F71" s="99"/>
      <c r="G71" s="99"/>
      <c r="H71" s="388"/>
      <c r="I71" s="99"/>
      <c r="J71" s="77"/>
      <c r="K71" s="77"/>
      <c r="L71" s="77"/>
      <c r="M71" s="77"/>
      <c r="N71" s="77"/>
      <c r="O71" s="77"/>
    </row>
    <row r="72" spans="1:15" ht="15" x14ac:dyDescent="0.25">
      <c r="A72" s="99"/>
      <c r="B72" s="99"/>
      <c r="C72" s="99"/>
      <c r="D72" s="99"/>
      <c r="E72" s="99"/>
      <c r="F72" s="99"/>
      <c r="G72" s="99"/>
      <c r="H72" s="388"/>
      <c r="I72" s="99"/>
      <c r="J72" s="77"/>
      <c r="K72" s="77"/>
      <c r="L72" s="77"/>
      <c r="M72" s="77"/>
      <c r="N72" s="77"/>
      <c r="O72" s="77"/>
    </row>
    <row r="73" spans="1:15" ht="15" x14ac:dyDescent="0.25">
      <c r="A73" s="99"/>
      <c r="B73" s="99"/>
      <c r="C73" s="99"/>
      <c r="D73" s="99"/>
      <c r="E73" s="99"/>
      <c r="F73" s="99"/>
      <c r="G73" s="99"/>
      <c r="H73" s="388"/>
      <c r="I73" s="99"/>
      <c r="J73" s="77"/>
      <c r="K73" s="77"/>
      <c r="L73" s="77"/>
      <c r="M73" s="77"/>
      <c r="N73" s="77"/>
      <c r="O73" s="77"/>
    </row>
    <row r="74" spans="1:15" ht="15" x14ac:dyDescent="0.25">
      <c r="A74" s="99"/>
      <c r="B74" s="99"/>
      <c r="C74" s="99"/>
      <c r="D74" s="99"/>
      <c r="E74" s="99"/>
      <c r="F74" s="99"/>
      <c r="G74" s="99"/>
      <c r="H74" s="388"/>
      <c r="I74" s="99"/>
      <c r="J74" s="77"/>
      <c r="K74" s="77"/>
      <c r="L74" s="77"/>
      <c r="M74" s="77"/>
      <c r="N74" s="77"/>
      <c r="O74" s="77"/>
    </row>
    <row r="75" spans="1:15" ht="15" x14ac:dyDescent="0.25">
      <c r="A75" s="99"/>
      <c r="B75" s="99"/>
      <c r="C75" s="99"/>
      <c r="D75" s="99"/>
      <c r="E75" s="99"/>
      <c r="F75" s="99"/>
      <c r="G75" s="99"/>
      <c r="H75" s="388"/>
      <c r="I75" s="99"/>
      <c r="J75" s="77"/>
      <c r="K75" s="77"/>
      <c r="L75" s="77"/>
      <c r="M75" s="77"/>
      <c r="N75" s="77"/>
      <c r="O75" s="77"/>
    </row>
    <row r="76" spans="1:15" ht="15" x14ac:dyDescent="0.25">
      <c r="A76" s="99"/>
      <c r="B76" s="99"/>
      <c r="C76" s="99"/>
      <c r="D76" s="99"/>
      <c r="E76" s="99"/>
      <c r="F76" s="99"/>
      <c r="G76" s="99"/>
      <c r="H76" s="388"/>
      <c r="I76" s="99"/>
      <c r="J76" s="77"/>
      <c r="K76" s="77"/>
      <c r="L76" s="77"/>
      <c r="M76" s="77"/>
      <c r="N76" s="77"/>
      <c r="O76" s="77"/>
    </row>
    <row r="77" spans="1:15" ht="15" x14ac:dyDescent="0.25">
      <c r="A77" s="99"/>
      <c r="B77" s="99"/>
      <c r="C77" s="99"/>
      <c r="D77" s="99"/>
      <c r="E77" s="99"/>
      <c r="F77" s="99"/>
      <c r="G77" s="99"/>
      <c r="H77" s="388"/>
      <c r="I77" s="99"/>
      <c r="J77" s="77"/>
      <c r="K77" s="77"/>
      <c r="L77" s="77"/>
      <c r="M77" s="77"/>
      <c r="N77" s="77"/>
      <c r="O77" s="77"/>
    </row>
    <row r="78" spans="1:15" ht="15" x14ac:dyDescent="0.25">
      <c r="A78" s="99"/>
      <c r="B78" s="99"/>
      <c r="C78" s="99"/>
      <c r="D78" s="99"/>
      <c r="E78" s="99"/>
      <c r="F78" s="99"/>
      <c r="G78" s="99"/>
      <c r="H78" s="388"/>
      <c r="I78" s="99"/>
      <c r="J78" s="77"/>
      <c r="K78" s="77"/>
      <c r="L78" s="77"/>
      <c r="M78" s="77"/>
      <c r="N78" s="77"/>
      <c r="O78" s="77"/>
    </row>
    <row r="79" spans="1:15" ht="15" x14ac:dyDescent="0.25">
      <c r="A79" s="99"/>
      <c r="B79" s="99"/>
      <c r="C79" s="99"/>
      <c r="D79" s="99"/>
      <c r="E79" s="99"/>
      <c r="F79" s="99"/>
      <c r="G79" s="99"/>
      <c r="H79" s="388"/>
      <c r="I79" s="99"/>
      <c r="J79" s="77"/>
      <c r="K79" s="77"/>
      <c r="L79" s="77"/>
      <c r="M79" s="77"/>
      <c r="N79" s="77"/>
      <c r="O79" s="77"/>
    </row>
    <row r="80" spans="1:15" ht="15" x14ac:dyDescent="0.25">
      <c r="A80" s="99"/>
      <c r="B80" s="99"/>
      <c r="C80" s="99"/>
      <c r="D80" s="99"/>
      <c r="E80" s="99"/>
      <c r="F80" s="99"/>
      <c r="G80" s="99"/>
      <c r="H80" s="388"/>
      <c r="I80" s="99"/>
      <c r="J80" s="77"/>
      <c r="K80" s="77"/>
      <c r="L80" s="77"/>
      <c r="M80" s="77"/>
      <c r="N80" s="77"/>
      <c r="O80" s="77"/>
    </row>
    <row r="81" spans="1:15" ht="15" x14ac:dyDescent="0.25">
      <c r="A81" s="99"/>
      <c r="B81" s="99"/>
      <c r="C81" s="99"/>
      <c r="D81" s="99"/>
      <c r="E81" s="99"/>
      <c r="F81" s="99"/>
      <c r="G81" s="99"/>
      <c r="H81" s="388"/>
      <c r="I81" s="99"/>
      <c r="J81" s="77"/>
      <c r="K81" s="77"/>
      <c r="L81" s="77"/>
      <c r="M81" s="77"/>
      <c r="N81" s="77"/>
      <c r="O81" s="77"/>
    </row>
    <row r="82" spans="1:15" ht="15" x14ac:dyDescent="0.25">
      <c r="A82" s="99"/>
      <c r="B82" s="99"/>
      <c r="C82" s="99"/>
      <c r="D82" s="99"/>
      <c r="E82" s="99"/>
      <c r="F82" s="99"/>
      <c r="G82" s="99"/>
      <c r="H82" s="388"/>
      <c r="I82" s="99"/>
      <c r="J82" s="77"/>
      <c r="K82" s="77"/>
      <c r="L82" s="77"/>
      <c r="M82" s="77"/>
      <c r="N82" s="77"/>
      <c r="O82" s="77"/>
    </row>
    <row r="83" spans="1:15" ht="15" x14ac:dyDescent="0.25">
      <c r="A83" s="99"/>
      <c r="B83" s="99"/>
      <c r="C83" s="99"/>
      <c r="D83" s="99"/>
      <c r="E83" s="99"/>
      <c r="F83" s="99"/>
      <c r="G83" s="99"/>
      <c r="H83" s="388"/>
      <c r="I83" s="99"/>
      <c r="J83" s="77"/>
      <c r="K83" s="77"/>
      <c r="L83" s="77"/>
      <c r="M83" s="77"/>
      <c r="N83" s="77"/>
      <c r="O83" s="77"/>
    </row>
    <row r="84" spans="1:15" ht="15" x14ac:dyDescent="0.25">
      <c r="A84" s="99"/>
      <c r="B84" s="99"/>
      <c r="C84" s="99"/>
      <c r="D84" s="99"/>
      <c r="E84" s="99"/>
      <c r="F84" s="99"/>
      <c r="G84" s="99"/>
      <c r="H84" s="388"/>
      <c r="I84" s="99"/>
      <c r="J84" s="77"/>
      <c r="K84" s="77"/>
      <c r="L84" s="77"/>
      <c r="M84" s="77"/>
      <c r="N84" s="77"/>
      <c r="O84" s="77"/>
    </row>
    <row r="85" spans="1:15" ht="15" x14ac:dyDescent="0.25">
      <c r="A85" s="99"/>
      <c r="B85" s="99"/>
      <c r="C85" s="99"/>
      <c r="D85" s="99"/>
      <c r="E85" s="99"/>
      <c r="F85" s="99"/>
      <c r="G85" s="99"/>
      <c r="H85" s="388"/>
      <c r="I85" s="99"/>
      <c r="J85" s="77"/>
      <c r="K85" s="77"/>
      <c r="L85" s="77"/>
      <c r="M85" s="77"/>
      <c r="N85" s="77"/>
      <c r="O85" s="77"/>
    </row>
    <row r="86" spans="1:15" ht="15" x14ac:dyDescent="0.25">
      <c r="A86" s="99"/>
      <c r="B86" s="99"/>
      <c r="C86" s="99"/>
      <c r="D86" s="99"/>
      <c r="E86" s="99"/>
      <c r="F86" s="99"/>
      <c r="G86" s="99"/>
      <c r="H86" s="388"/>
      <c r="I86" s="99"/>
      <c r="J86" s="77"/>
      <c r="K86" s="77"/>
      <c r="L86" s="77"/>
      <c r="M86" s="77"/>
      <c r="N86" s="77"/>
      <c r="O86" s="77"/>
    </row>
    <row r="87" spans="1:15" ht="15" x14ac:dyDescent="0.25">
      <c r="A87" s="99"/>
      <c r="B87" s="99"/>
      <c r="C87" s="99"/>
      <c r="D87" s="99"/>
      <c r="E87" s="99"/>
      <c r="F87" s="99"/>
      <c r="G87" s="99"/>
      <c r="H87" s="388"/>
      <c r="I87" s="99"/>
      <c r="J87" s="77"/>
      <c r="K87" s="77"/>
      <c r="L87" s="77"/>
      <c r="M87" s="77"/>
      <c r="N87" s="77"/>
      <c r="O87" s="77"/>
    </row>
    <row r="88" spans="1:15" ht="15" x14ac:dyDescent="0.25">
      <c r="A88" s="99"/>
      <c r="B88" s="99"/>
      <c r="C88" s="99"/>
      <c r="D88" s="99"/>
      <c r="E88" s="99"/>
      <c r="F88" s="99"/>
      <c r="G88" s="99"/>
      <c r="H88" s="388"/>
      <c r="I88" s="99"/>
      <c r="J88" s="77"/>
      <c r="K88" s="77"/>
      <c r="L88" s="77"/>
      <c r="M88" s="77"/>
      <c r="N88" s="77"/>
      <c r="O88" s="77"/>
    </row>
    <row r="89" spans="1:15" ht="15" x14ac:dyDescent="0.25">
      <c r="A89" s="99"/>
      <c r="B89" s="99"/>
      <c r="C89" s="99"/>
      <c r="D89" s="99"/>
      <c r="E89" s="99"/>
      <c r="F89" s="99"/>
      <c r="G89" s="99"/>
      <c r="H89" s="388"/>
      <c r="I89" s="99"/>
      <c r="J89" s="77"/>
      <c r="K89" s="77"/>
      <c r="L89" s="77"/>
      <c r="M89" s="77"/>
      <c r="N89" s="77"/>
      <c r="O89" s="77"/>
    </row>
    <row r="90" spans="1:15" ht="15" x14ac:dyDescent="0.25">
      <c r="A90" s="99"/>
      <c r="B90" s="99"/>
      <c r="C90" s="99"/>
      <c r="D90" s="99"/>
      <c r="E90" s="99"/>
      <c r="F90" s="99"/>
      <c r="G90" s="99"/>
      <c r="H90" s="388"/>
      <c r="I90" s="99"/>
      <c r="J90" s="77"/>
      <c r="K90" s="77"/>
      <c r="L90" s="77"/>
      <c r="M90" s="77"/>
      <c r="N90" s="77"/>
      <c r="O90" s="77"/>
    </row>
    <row r="91" spans="1:15" ht="15" x14ac:dyDescent="0.25">
      <c r="A91" s="99"/>
      <c r="B91" s="99"/>
      <c r="C91" s="99"/>
      <c r="D91" s="99"/>
      <c r="E91" s="99"/>
      <c r="F91" s="99"/>
      <c r="G91" s="99"/>
      <c r="H91" s="388"/>
      <c r="I91" s="99"/>
      <c r="J91" s="77"/>
      <c r="K91" s="77"/>
      <c r="L91" s="77"/>
      <c r="M91" s="77"/>
      <c r="N91" s="77"/>
      <c r="O91" s="77"/>
    </row>
    <row r="92" spans="1:15" ht="15" x14ac:dyDescent="0.25">
      <c r="A92" s="99"/>
      <c r="B92" s="99"/>
      <c r="C92" s="99"/>
      <c r="D92" s="99"/>
      <c r="E92" s="99"/>
      <c r="F92" s="99"/>
      <c r="G92" s="99"/>
      <c r="H92" s="388"/>
      <c r="I92" s="99"/>
      <c r="J92" s="77"/>
      <c r="K92" s="77"/>
      <c r="L92" s="77"/>
      <c r="M92" s="77"/>
      <c r="N92" s="77"/>
      <c r="O92" s="77"/>
    </row>
    <row r="93" spans="1:15" ht="15" x14ac:dyDescent="0.25">
      <c r="A93" s="99"/>
      <c r="B93" s="99"/>
      <c r="C93" s="99"/>
      <c r="D93" s="99"/>
      <c r="E93" s="99"/>
      <c r="F93" s="99"/>
      <c r="G93" s="99"/>
      <c r="H93" s="388"/>
      <c r="I93" s="99"/>
      <c r="J93" s="77"/>
      <c r="K93" s="77"/>
      <c r="L93" s="77"/>
      <c r="M93" s="77"/>
      <c r="N93" s="77"/>
      <c r="O93" s="77"/>
    </row>
    <row r="94" spans="1:15" ht="15" x14ac:dyDescent="0.25">
      <c r="A94" s="99"/>
      <c r="B94" s="99"/>
      <c r="C94" s="99"/>
      <c r="D94" s="99"/>
      <c r="E94" s="99"/>
      <c r="F94" s="99"/>
      <c r="G94" s="99"/>
      <c r="H94" s="388"/>
      <c r="I94" s="99"/>
      <c r="J94" s="77"/>
      <c r="K94" s="77"/>
      <c r="L94" s="77"/>
      <c r="M94" s="77"/>
      <c r="N94" s="77"/>
      <c r="O94" s="77"/>
    </row>
    <row r="95" spans="1:15" ht="15" x14ac:dyDescent="0.25">
      <c r="A95" s="99"/>
      <c r="B95" s="99"/>
      <c r="C95" s="99"/>
      <c r="D95" s="99"/>
      <c r="E95" s="99"/>
      <c r="F95" s="99"/>
      <c r="G95" s="99"/>
      <c r="H95" s="388"/>
      <c r="I95" s="99"/>
      <c r="J95" s="77"/>
      <c r="K95" s="77"/>
      <c r="L95" s="77"/>
      <c r="M95" s="77"/>
      <c r="N95" s="77"/>
      <c r="O95" s="77"/>
    </row>
    <row r="96" spans="1:15" ht="15" x14ac:dyDescent="0.25">
      <c r="A96" s="99"/>
      <c r="B96" s="99"/>
      <c r="C96" s="99"/>
      <c r="D96" s="99"/>
      <c r="E96" s="99"/>
      <c r="F96" s="99"/>
      <c r="G96" s="99"/>
      <c r="H96" s="388"/>
      <c r="I96" s="99"/>
      <c r="J96" s="77"/>
      <c r="K96" s="77"/>
      <c r="L96" s="77"/>
      <c r="M96" s="77"/>
      <c r="N96" s="77"/>
      <c r="O96" s="77"/>
    </row>
    <row r="97" spans="1:15" ht="15" x14ac:dyDescent="0.25">
      <c r="A97" s="99"/>
      <c r="B97" s="99"/>
      <c r="C97" s="99"/>
      <c r="D97" s="99"/>
      <c r="E97" s="99"/>
      <c r="F97" s="99"/>
      <c r="G97" s="99"/>
      <c r="H97" s="388"/>
      <c r="I97" s="99"/>
      <c r="J97" s="77"/>
      <c r="K97" s="77"/>
      <c r="L97" s="77"/>
      <c r="M97" s="77"/>
      <c r="N97" s="77"/>
      <c r="O97" s="77"/>
    </row>
    <row r="98" spans="1:15" ht="15" x14ac:dyDescent="0.25">
      <c r="A98" s="99"/>
      <c r="B98" s="99"/>
      <c r="C98" s="99"/>
      <c r="D98" s="99"/>
      <c r="E98" s="99"/>
      <c r="F98" s="99"/>
      <c r="G98" s="99"/>
      <c r="H98" s="388"/>
      <c r="I98" s="99"/>
      <c r="J98" s="77"/>
      <c r="K98" s="77"/>
      <c r="L98" s="77"/>
      <c r="M98" s="77"/>
      <c r="N98" s="77"/>
      <c r="O98" s="77"/>
    </row>
    <row r="99" spans="1:15" ht="15" x14ac:dyDescent="0.25">
      <c r="A99" s="99"/>
      <c r="B99" s="99"/>
      <c r="C99" s="99"/>
      <c r="D99" s="99"/>
      <c r="E99" s="99"/>
      <c r="F99" s="99"/>
      <c r="G99" s="99"/>
      <c r="H99" s="388"/>
      <c r="I99" s="99"/>
      <c r="J99" s="77"/>
      <c r="K99" s="77"/>
      <c r="L99" s="77"/>
      <c r="M99" s="77"/>
      <c r="N99" s="77"/>
      <c r="O99" s="77"/>
    </row>
    <row r="100" spans="1:15" ht="15.6" thickBot="1" x14ac:dyDescent="0.3">
      <c r="A100" s="99"/>
      <c r="B100" s="99"/>
      <c r="C100" s="99"/>
      <c r="D100" s="99"/>
      <c r="E100" s="99"/>
      <c r="F100" s="99"/>
      <c r="G100" s="99"/>
      <c r="H100" s="388"/>
      <c r="I100" s="99"/>
      <c r="J100" s="77"/>
      <c r="K100" s="77"/>
      <c r="L100" s="77"/>
      <c r="M100" s="77"/>
      <c r="N100" s="77"/>
      <c r="O100" s="77"/>
    </row>
    <row r="101" spans="1:15" ht="15" x14ac:dyDescent="0.25">
      <c r="A101" s="894" t="s">
        <v>195</v>
      </c>
      <c r="B101" s="895"/>
      <c r="C101" s="895"/>
      <c r="D101" s="895"/>
      <c r="E101" s="895"/>
      <c r="F101" s="896"/>
      <c r="G101" s="99"/>
      <c r="H101" s="388"/>
      <c r="I101" s="99"/>
      <c r="J101" s="77"/>
      <c r="K101" s="77"/>
      <c r="L101" s="77"/>
      <c r="M101" s="77"/>
      <c r="N101" s="77"/>
      <c r="O101" s="77"/>
    </row>
    <row r="102" spans="1:15" ht="15.6" thickBot="1" x14ac:dyDescent="0.3">
      <c r="A102" s="897"/>
      <c r="B102" s="898"/>
      <c r="C102" s="898"/>
      <c r="D102" s="898"/>
      <c r="E102" s="898"/>
      <c r="F102" s="899"/>
      <c r="G102" s="99"/>
      <c r="H102" s="388"/>
      <c r="I102" s="99"/>
      <c r="J102" s="77"/>
      <c r="K102" s="77"/>
      <c r="L102" s="77"/>
      <c r="M102" s="77"/>
      <c r="N102" s="77"/>
      <c r="O102" s="77"/>
    </row>
    <row r="103" spans="1:15" ht="15" x14ac:dyDescent="0.25">
      <c r="A103" s="162" t="s">
        <v>5</v>
      </c>
      <c r="B103" s="161" t="s">
        <v>6</v>
      </c>
      <c r="C103" s="161" t="s">
        <v>13</v>
      </c>
      <c r="D103" s="161" t="s">
        <v>82</v>
      </c>
      <c r="E103" s="161" t="s">
        <v>115</v>
      </c>
      <c r="F103" s="163" t="s">
        <v>116</v>
      </c>
      <c r="G103" s="99"/>
      <c r="H103" s="388"/>
      <c r="I103" s="99"/>
      <c r="J103" s="77"/>
      <c r="K103" s="77"/>
      <c r="L103" s="77"/>
      <c r="M103" s="77"/>
      <c r="N103" s="77"/>
      <c r="O103" s="77"/>
    </row>
    <row r="104" spans="1:15" ht="15" x14ac:dyDescent="0.25">
      <c r="A104" s="396" t="s">
        <v>239</v>
      </c>
      <c r="B104" s="106"/>
      <c r="C104" s="106"/>
      <c r="D104" s="106"/>
      <c r="E104" s="106"/>
      <c r="F104" s="107"/>
      <c r="G104" s="99"/>
      <c r="H104" s="388"/>
      <c r="I104" s="99"/>
      <c r="J104" s="77"/>
      <c r="K104" s="77"/>
      <c r="L104" s="77"/>
      <c r="M104" s="77"/>
      <c r="N104" s="77"/>
      <c r="O104" s="77"/>
    </row>
    <row r="105" spans="1:15" ht="30" x14ac:dyDescent="0.25">
      <c r="A105" s="396" t="s">
        <v>91</v>
      </c>
      <c r="B105" s="106" t="s">
        <v>190</v>
      </c>
      <c r="C105" s="106" t="s">
        <v>18</v>
      </c>
      <c r="D105" s="106" t="s">
        <v>8</v>
      </c>
      <c r="E105" s="106" t="s">
        <v>36</v>
      </c>
      <c r="F105" s="107" t="s">
        <v>29</v>
      </c>
      <c r="G105" s="99"/>
      <c r="H105" s="388"/>
      <c r="I105" s="99"/>
      <c r="J105" s="77"/>
      <c r="K105" s="77"/>
      <c r="L105" s="77"/>
      <c r="M105" s="77"/>
      <c r="N105" s="77"/>
      <c r="O105" s="77"/>
    </row>
    <row r="106" spans="1:15" ht="30" x14ac:dyDescent="0.25">
      <c r="A106" s="397" t="s">
        <v>27</v>
      </c>
      <c r="B106" s="106" t="s">
        <v>192</v>
      </c>
      <c r="C106" s="106" t="s">
        <v>15</v>
      </c>
      <c r="D106" s="106" t="s">
        <v>84</v>
      </c>
      <c r="E106" s="106" t="s">
        <v>35</v>
      </c>
      <c r="F106" s="107" t="s">
        <v>28</v>
      </c>
      <c r="G106" s="99"/>
      <c r="H106" s="388"/>
      <c r="I106" s="99"/>
      <c r="J106" s="77"/>
      <c r="K106" s="77"/>
      <c r="L106" s="77"/>
      <c r="M106" s="77"/>
      <c r="N106" s="77"/>
      <c r="O106" s="77"/>
    </row>
    <row r="107" spans="1:15" ht="30" x14ac:dyDescent="0.25">
      <c r="A107" s="397" t="s">
        <v>125</v>
      </c>
      <c r="B107" s="106" t="s">
        <v>191</v>
      </c>
      <c r="C107" s="106" t="s">
        <v>16</v>
      </c>
      <c r="D107" s="106"/>
      <c r="E107" s="106" t="s">
        <v>46</v>
      </c>
      <c r="F107" s="107" t="s">
        <v>34</v>
      </c>
      <c r="G107" s="99"/>
      <c r="H107" s="388"/>
      <c r="I107" s="99"/>
      <c r="J107" s="77"/>
      <c r="K107" s="77"/>
      <c r="L107" s="77"/>
      <c r="M107" s="77"/>
      <c r="N107" s="77"/>
      <c r="O107" s="77"/>
    </row>
    <row r="108" spans="1:15" ht="15" x14ac:dyDescent="0.25">
      <c r="A108" s="396" t="s">
        <v>128</v>
      </c>
      <c r="B108" s="106" t="s">
        <v>193</v>
      </c>
      <c r="C108" s="106" t="s">
        <v>20</v>
      </c>
      <c r="D108" s="106"/>
      <c r="E108" s="106" t="s">
        <v>44</v>
      </c>
      <c r="F108" s="107" t="s">
        <v>142</v>
      </c>
      <c r="G108" s="99"/>
      <c r="H108" s="388"/>
      <c r="I108" s="99"/>
      <c r="J108" s="77"/>
      <c r="K108" s="77"/>
      <c r="L108" s="77"/>
      <c r="M108" s="77"/>
      <c r="N108" s="77"/>
      <c r="O108" s="77"/>
    </row>
    <row r="109" spans="1:15" ht="15" x14ac:dyDescent="0.25">
      <c r="A109" s="397" t="s">
        <v>326</v>
      </c>
      <c r="B109" s="106"/>
      <c r="C109" s="106" t="s">
        <v>19</v>
      </c>
      <c r="D109" s="106"/>
      <c r="E109" s="106" t="s">
        <v>37</v>
      </c>
      <c r="F109" s="107" t="s">
        <v>30</v>
      </c>
      <c r="G109" s="99"/>
      <c r="H109" s="388"/>
      <c r="I109" s="99"/>
      <c r="J109" s="77"/>
      <c r="K109" s="77"/>
      <c r="L109" s="77"/>
      <c r="M109" s="77"/>
      <c r="N109" s="77"/>
      <c r="O109" s="77"/>
    </row>
    <row r="110" spans="1:15" ht="30" x14ac:dyDescent="0.25">
      <c r="A110" s="396" t="s">
        <v>308</v>
      </c>
      <c r="B110" s="106"/>
      <c r="C110" s="106" t="s">
        <v>21</v>
      </c>
      <c r="D110" s="106"/>
      <c r="E110" s="106" t="s">
        <v>117</v>
      </c>
      <c r="F110" s="107" t="s">
        <v>121</v>
      </c>
      <c r="G110" s="99"/>
      <c r="H110" s="388"/>
      <c r="I110" s="99"/>
      <c r="J110" s="77"/>
      <c r="K110" s="77"/>
      <c r="L110" s="77"/>
      <c r="M110" s="77"/>
      <c r="N110" s="77"/>
      <c r="O110" s="77"/>
    </row>
    <row r="111" spans="1:15" ht="30" x14ac:dyDescent="0.25">
      <c r="A111" s="396" t="s">
        <v>309</v>
      </c>
      <c r="B111" s="106"/>
      <c r="C111" s="106" t="s">
        <v>14</v>
      </c>
      <c r="D111" s="106"/>
      <c r="E111" s="106" t="s">
        <v>42</v>
      </c>
      <c r="F111" s="107" t="s">
        <v>40</v>
      </c>
      <c r="G111" s="99"/>
      <c r="H111" s="388"/>
      <c r="I111" s="99"/>
      <c r="J111" s="77"/>
      <c r="K111" s="77"/>
      <c r="L111" s="77"/>
      <c r="M111" s="77"/>
      <c r="N111" s="77"/>
      <c r="O111" s="77"/>
    </row>
    <row r="112" spans="1:15" ht="30" x14ac:dyDescent="0.25">
      <c r="A112" s="396" t="s">
        <v>307</v>
      </c>
      <c r="B112" s="106"/>
      <c r="C112" s="106" t="s">
        <v>17</v>
      </c>
      <c r="D112" s="106"/>
      <c r="E112" s="106" t="s">
        <v>38</v>
      </c>
      <c r="F112" s="107" t="s">
        <v>31</v>
      </c>
      <c r="G112" s="99"/>
      <c r="H112" s="388"/>
      <c r="I112" s="99"/>
      <c r="J112" s="77"/>
      <c r="K112" s="77"/>
      <c r="L112" s="77"/>
      <c r="M112" s="77"/>
      <c r="N112" s="77"/>
      <c r="O112" s="77"/>
    </row>
    <row r="113" spans="1:15" ht="15" x14ac:dyDescent="0.25">
      <c r="A113" s="397" t="s">
        <v>4</v>
      </c>
      <c r="B113" s="106"/>
      <c r="C113" s="106"/>
      <c r="D113" s="106"/>
      <c r="E113" s="106" t="s">
        <v>41</v>
      </c>
      <c r="F113" s="107" t="s">
        <v>39</v>
      </c>
      <c r="G113" s="99"/>
      <c r="H113" s="388"/>
      <c r="I113" s="99"/>
      <c r="J113" s="77"/>
      <c r="K113" s="77"/>
      <c r="L113" s="77"/>
      <c r="M113" s="77"/>
      <c r="N113" s="77"/>
      <c r="O113" s="77"/>
    </row>
    <row r="114" spans="1:15" ht="15" x14ac:dyDescent="0.25">
      <c r="A114" s="397" t="s">
        <v>126</v>
      </c>
      <c r="B114" s="106"/>
      <c r="C114" s="106"/>
      <c r="D114" s="106"/>
      <c r="E114" s="106" t="s">
        <v>43</v>
      </c>
      <c r="F114" s="107" t="s">
        <v>120</v>
      </c>
      <c r="G114" s="99"/>
      <c r="H114" s="388"/>
      <c r="I114" s="99"/>
      <c r="J114" s="77"/>
      <c r="K114" s="77"/>
      <c r="L114" s="77"/>
      <c r="M114" s="77"/>
      <c r="N114" s="77"/>
      <c r="O114" s="77"/>
    </row>
    <row r="115" spans="1:15" x14ac:dyDescent="0.25">
      <c r="A115" s="2" t="s">
        <v>238</v>
      </c>
      <c r="B115" s="2"/>
      <c r="C115" s="2"/>
      <c r="D115" s="2"/>
      <c r="E115" s="2" t="s">
        <v>118</v>
      </c>
      <c r="F115" s="2" t="s">
        <v>122</v>
      </c>
      <c r="G115" s="2"/>
      <c r="H115" s="3"/>
      <c r="I115" s="2"/>
    </row>
    <row r="116" spans="1:15" x14ac:dyDescent="0.25">
      <c r="A116" s="2" t="s">
        <v>183</v>
      </c>
      <c r="B116" s="2"/>
      <c r="C116" s="2"/>
      <c r="D116" s="2"/>
      <c r="E116" s="2" t="s">
        <v>45</v>
      </c>
      <c r="F116" s="2" t="s">
        <v>32</v>
      </c>
      <c r="G116" s="2"/>
      <c r="H116" s="3"/>
      <c r="I116" s="2"/>
    </row>
    <row r="117" spans="1:15" ht="15" x14ac:dyDescent="0.25">
      <c r="A117" s="2"/>
      <c r="B117" s="2"/>
      <c r="C117" s="2"/>
      <c r="D117" s="2"/>
      <c r="E117" s="106" t="s">
        <v>142</v>
      </c>
      <c r="F117" s="2"/>
      <c r="G117" s="2"/>
      <c r="H117" s="3"/>
      <c r="I117" s="2"/>
    </row>
    <row r="118" spans="1:15" x14ac:dyDescent="0.25">
      <c r="A118" s="2"/>
      <c r="B118" s="2"/>
      <c r="C118" s="2"/>
      <c r="D118" s="2"/>
      <c r="E118" s="2"/>
      <c r="F118" s="2"/>
      <c r="G118" s="2"/>
      <c r="H118" s="3"/>
      <c r="I118" s="2"/>
    </row>
    <row r="119" spans="1:15" x14ac:dyDescent="0.25">
      <c r="A119" s="2"/>
      <c r="B119" s="2"/>
      <c r="C119" s="2"/>
      <c r="D119" s="2"/>
      <c r="E119" s="2"/>
      <c r="F119" s="2"/>
      <c r="G119" s="2"/>
      <c r="H119" s="3"/>
      <c r="I119" s="2"/>
    </row>
    <row r="120" spans="1:15" x14ac:dyDescent="0.25">
      <c r="A120" s="2"/>
      <c r="B120" s="2"/>
      <c r="C120" s="2"/>
      <c r="D120" s="2"/>
      <c r="E120" s="2"/>
      <c r="F120" s="2"/>
      <c r="G120" s="2"/>
      <c r="H120" s="3"/>
      <c r="I120" s="2"/>
    </row>
    <row r="121" spans="1:15" x14ac:dyDescent="0.25">
      <c r="A121" s="2"/>
      <c r="B121" s="2"/>
      <c r="C121" s="2"/>
      <c r="D121" s="2"/>
      <c r="E121" s="2"/>
      <c r="F121" s="2"/>
      <c r="G121" s="2"/>
      <c r="H121" s="3"/>
      <c r="I121" s="2"/>
    </row>
    <row r="122" spans="1:15" x14ac:dyDescent="0.25">
      <c r="A122" s="2"/>
      <c r="B122" s="2"/>
      <c r="C122" s="2"/>
      <c r="D122" s="2"/>
      <c r="E122" s="2"/>
      <c r="F122" s="2"/>
      <c r="G122" s="2"/>
      <c r="H122" s="3"/>
      <c r="I122" s="2"/>
    </row>
    <row r="123" spans="1:15" x14ac:dyDescent="0.25">
      <c r="A123" s="2"/>
      <c r="B123" s="2"/>
      <c r="C123" s="2"/>
      <c r="D123" s="2"/>
      <c r="E123" s="2"/>
      <c r="F123" s="2"/>
      <c r="G123" s="2"/>
      <c r="H123" s="3"/>
      <c r="I123" s="2"/>
    </row>
    <row r="124" spans="1:15" x14ac:dyDescent="0.25">
      <c r="A124" s="2"/>
      <c r="B124" s="2"/>
      <c r="C124" s="2"/>
      <c r="D124" s="2"/>
      <c r="E124" s="2"/>
      <c r="F124" s="2"/>
      <c r="G124" s="2"/>
      <c r="H124" s="3"/>
      <c r="I124" s="2"/>
    </row>
    <row r="125" spans="1:15" x14ac:dyDescent="0.25">
      <c r="A125" s="2"/>
      <c r="B125" s="2"/>
      <c r="C125" s="2"/>
      <c r="D125" s="2"/>
      <c r="E125" s="2"/>
      <c r="F125" s="2"/>
      <c r="G125" s="2"/>
      <c r="H125" s="3"/>
      <c r="I125" s="2"/>
    </row>
    <row r="126" spans="1:15" x14ac:dyDescent="0.25">
      <c r="A126" s="2"/>
      <c r="B126" s="2"/>
      <c r="C126" s="2"/>
      <c r="D126" s="2"/>
      <c r="E126" s="2"/>
      <c r="F126" s="2"/>
      <c r="G126" s="2"/>
      <c r="H126" s="3"/>
      <c r="I126" s="2"/>
    </row>
    <row r="127" spans="1:15" x14ac:dyDescent="0.25">
      <c r="A127" s="2"/>
      <c r="B127" s="2"/>
      <c r="C127" s="2"/>
      <c r="D127" s="2"/>
      <c r="E127" s="2"/>
      <c r="F127" s="2"/>
      <c r="G127" s="2"/>
      <c r="H127" s="3"/>
      <c r="I127" s="2"/>
    </row>
    <row r="128" spans="1:15" x14ac:dyDescent="0.25">
      <c r="A128" s="2"/>
      <c r="B128" s="2"/>
      <c r="C128" s="2"/>
      <c r="D128" s="2"/>
      <c r="E128" s="2"/>
      <c r="F128" s="2"/>
      <c r="G128" s="2"/>
      <c r="H128" s="3"/>
      <c r="I128" s="2"/>
    </row>
    <row r="129" spans="1:9" x14ac:dyDescent="0.25">
      <c r="A129" s="2"/>
      <c r="B129" s="2"/>
      <c r="C129" s="2"/>
      <c r="D129" s="2"/>
      <c r="E129" s="2"/>
      <c r="F129" s="2"/>
      <c r="G129" s="2"/>
      <c r="H129" s="3"/>
      <c r="I129" s="2"/>
    </row>
  </sheetData>
  <sheetProtection selectLockedCells="1"/>
  <mergeCells count="7">
    <mergeCell ref="A101:F102"/>
    <mergeCell ref="A1:O1"/>
    <mergeCell ref="A3:O3"/>
    <mergeCell ref="A11:O11"/>
    <mergeCell ref="A35:O35"/>
    <mergeCell ref="A47:O47"/>
    <mergeCell ref="A48:F48"/>
  </mergeCells>
  <dataValidations count="8">
    <dataValidation type="list" allowBlank="1" showInputMessage="1" showErrorMessage="1" sqref="F18 F5:F10 F37 F25:F31" xr:uid="{00000000-0002-0000-0B00-000000000000}">
      <formula1>$E$110:$E$124</formula1>
    </dataValidation>
    <dataValidation type="list" allowBlank="1" showInputMessage="1" showErrorMessage="1" sqref="G5:G10 G14:G18 G37 G22:G31" xr:uid="{00000000-0002-0000-0B00-000001000000}">
      <formula1>$C$110:$C$118</formula1>
    </dataValidation>
    <dataValidation type="list" allowBlank="1" showInputMessage="1" showErrorMessage="1" sqref="A5:A10 A37 A14:A18 A22:A31" xr:uid="{00000000-0002-0000-0B00-000002000000}">
      <formula1>$D$110:$D$112</formula1>
    </dataValidation>
    <dataValidation type="list" allowBlank="1" showInputMessage="1" showErrorMessage="1" sqref="B5:B10 B22:B31 B14:B18 B37" xr:uid="{00000000-0002-0000-0B00-000003000000}">
      <formula1>$B$110:$B$114</formula1>
    </dataValidation>
    <dataValidation type="list" allowBlank="1" showInputMessage="1" showErrorMessage="1" sqref="E5:E10 E22:E31 E37 E14:E18" xr:uid="{00000000-0002-0000-0B00-000004000000}">
      <formula1>$F$110:$F$124</formula1>
    </dataValidation>
    <dataValidation type="list" allowBlank="1" showInputMessage="1" showErrorMessage="1" sqref="C22:D31 C14:D18 C37:D37 C5:D10" xr:uid="{00000000-0002-0000-0B00-000005000000}">
      <formula1>$A$110:$A$122</formula1>
    </dataValidation>
    <dataValidation type="list" allowBlank="1" showInputMessage="1" showErrorMessage="1" sqref="E40 C39:D46" xr:uid="{00000000-0002-0000-0B00-000006000000}">
      <formula1>#REF!</formula1>
    </dataValidation>
    <dataValidation type="list" allowBlank="1" showInputMessage="1" showErrorMessage="1" sqref="F21:F24 F14:F17" xr:uid="{00000000-0002-0000-0B00-000007000000}">
      <formula1>$E$108:$E$124</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3"/>
  <dimension ref="A1:EA129"/>
  <sheetViews>
    <sheetView topLeftCell="C4" zoomScale="70" zoomScaleNormal="70" workbookViewId="0">
      <selection activeCell="K6" sqref="K6"/>
    </sheetView>
  </sheetViews>
  <sheetFormatPr defaultColWidth="8.77734375" defaultRowHeight="13.2" x14ac:dyDescent="0.25"/>
  <cols>
    <col min="1" max="15" width="26.44140625" customWidth="1"/>
  </cols>
  <sheetData>
    <row r="1" spans="1:131" ht="18" thickBot="1" x14ac:dyDescent="0.3">
      <c r="A1" s="900" t="s">
        <v>310</v>
      </c>
      <c r="B1" s="900"/>
      <c r="C1" s="900"/>
      <c r="D1" s="900"/>
      <c r="E1" s="900"/>
      <c r="F1" s="900"/>
      <c r="G1" s="900"/>
      <c r="H1" s="900"/>
      <c r="I1" s="900"/>
      <c r="J1" s="900"/>
      <c r="K1" s="900"/>
      <c r="L1" s="900"/>
      <c r="M1" s="900"/>
      <c r="N1" s="900"/>
      <c r="O1" s="900"/>
    </row>
    <row r="2" spans="1:131" ht="17.399999999999999" x14ac:dyDescent="0.25">
      <c r="A2" s="551" t="s">
        <v>188</v>
      </c>
      <c r="B2" s="175"/>
      <c r="C2" s="551"/>
      <c r="D2" s="551"/>
      <c r="E2" s="551"/>
      <c r="F2" s="551"/>
      <c r="G2" s="551"/>
      <c r="H2" s="381"/>
      <c r="I2" s="551"/>
      <c r="J2" s="399"/>
      <c r="K2" s="399"/>
      <c r="L2" s="399"/>
      <c r="M2" s="399"/>
      <c r="N2" s="399"/>
      <c r="O2" s="399"/>
    </row>
    <row r="3" spans="1:131" ht="15" x14ac:dyDescent="0.25">
      <c r="A3" s="901" t="s">
        <v>204</v>
      </c>
      <c r="B3" s="902"/>
      <c r="C3" s="902"/>
      <c r="D3" s="902"/>
      <c r="E3" s="902"/>
      <c r="F3" s="902"/>
      <c r="G3" s="902"/>
      <c r="H3" s="902"/>
      <c r="I3" s="902"/>
      <c r="J3" s="902"/>
      <c r="K3" s="902"/>
      <c r="L3" s="902"/>
      <c r="M3" s="902"/>
      <c r="N3" s="902"/>
      <c r="O3" s="903"/>
    </row>
    <row r="4" spans="1:131" ht="60" x14ac:dyDescent="0.25">
      <c r="A4" s="176" t="s">
        <v>89</v>
      </c>
      <c r="B4" s="176" t="s">
        <v>90</v>
      </c>
      <c r="C4" s="177" t="s">
        <v>0</v>
      </c>
      <c r="D4" s="177" t="s">
        <v>124</v>
      </c>
      <c r="E4" s="176" t="s">
        <v>143</v>
      </c>
      <c r="F4" s="176" t="s">
        <v>144</v>
      </c>
      <c r="G4" s="176" t="s">
        <v>13</v>
      </c>
      <c r="H4" s="382" t="s">
        <v>88</v>
      </c>
      <c r="I4" s="176" t="s">
        <v>12</v>
      </c>
      <c r="J4" s="400" t="s">
        <v>158</v>
      </c>
      <c r="K4" s="400" t="s">
        <v>148</v>
      </c>
      <c r="L4" s="400" t="s">
        <v>180</v>
      </c>
      <c r="M4" s="400" t="s">
        <v>104</v>
      </c>
      <c r="N4" s="400" t="s">
        <v>179</v>
      </c>
      <c r="O4" s="400" t="s">
        <v>205</v>
      </c>
    </row>
    <row r="5" spans="1:131" ht="30" x14ac:dyDescent="0.25">
      <c r="A5" s="482" t="s">
        <v>84</v>
      </c>
      <c r="B5" s="482" t="s">
        <v>3</v>
      </c>
      <c r="C5" s="482" t="s">
        <v>307</v>
      </c>
      <c r="D5" s="482" t="s">
        <v>307</v>
      </c>
      <c r="E5" s="327" t="s">
        <v>120</v>
      </c>
      <c r="F5" s="457" t="s">
        <v>45</v>
      </c>
      <c r="G5" s="482" t="s">
        <v>14</v>
      </c>
      <c r="H5" s="483">
        <v>44423</v>
      </c>
      <c r="I5" s="482" t="s">
        <v>23</v>
      </c>
      <c r="J5" s="350">
        <v>143.66999999999999</v>
      </c>
      <c r="K5" s="350">
        <f>'Jan14'!K5</f>
        <v>110.75</v>
      </c>
      <c r="L5" s="496">
        <f t="shared" ref="L5:L8" si="0">N5-M5</f>
        <v>12.180868700000001</v>
      </c>
      <c r="M5" s="350">
        <f t="shared" ref="M5:N8" si="1">-DZ5/1000000</f>
        <v>0.14917828</v>
      </c>
      <c r="N5" s="350">
        <f t="shared" si="1"/>
        <v>12.330046980000001</v>
      </c>
      <c r="O5" s="88"/>
      <c r="DZ5">
        <v>-149178.28</v>
      </c>
      <c r="EA5">
        <v>-12330046.98</v>
      </c>
    </row>
    <row r="6" spans="1:131" ht="30" x14ac:dyDescent="0.25">
      <c r="A6" s="485" t="s">
        <v>84</v>
      </c>
      <c r="B6" s="485" t="s">
        <v>3</v>
      </c>
      <c r="C6" s="485" t="s">
        <v>307</v>
      </c>
      <c r="D6" s="485" t="s">
        <v>307</v>
      </c>
      <c r="E6" s="329" t="s">
        <v>120</v>
      </c>
      <c r="F6" s="457" t="s">
        <v>45</v>
      </c>
      <c r="G6" s="485" t="s">
        <v>14</v>
      </c>
      <c r="H6" s="93">
        <v>44576</v>
      </c>
      <c r="I6" s="485" t="s">
        <v>24</v>
      </c>
      <c r="J6" s="351">
        <v>27.4</v>
      </c>
      <c r="K6" s="351">
        <f>'Jan14'!K6</f>
        <v>23.6</v>
      </c>
      <c r="L6" s="497">
        <f t="shared" si="0"/>
        <v>3.1725259499999998</v>
      </c>
      <c r="M6" s="351">
        <f t="shared" si="1"/>
        <v>6.004346E-2</v>
      </c>
      <c r="N6" s="351">
        <f t="shared" si="1"/>
        <v>3.23256941</v>
      </c>
      <c r="O6" s="96"/>
      <c r="DZ6">
        <v>-60043.46</v>
      </c>
      <c r="EA6">
        <v>-3232569.41</v>
      </c>
    </row>
    <row r="7" spans="1:131" ht="30" x14ac:dyDescent="0.25">
      <c r="A7" s="482" t="s">
        <v>84</v>
      </c>
      <c r="B7" s="482" t="s">
        <v>3</v>
      </c>
      <c r="C7" s="482" t="s">
        <v>308</v>
      </c>
      <c r="D7" s="482" t="s">
        <v>308</v>
      </c>
      <c r="E7" s="327" t="s">
        <v>39</v>
      </c>
      <c r="F7" s="457" t="s">
        <v>38</v>
      </c>
      <c r="G7" s="482" t="s">
        <v>14</v>
      </c>
      <c r="H7" s="483">
        <v>44576</v>
      </c>
      <c r="I7" s="482" t="s">
        <v>24</v>
      </c>
      <c r="J7" s="350">
        <v>26.85</v>
      </c>
      <c r="K7" s="350">
        <f>'Jan14'!K7</f>
        <v>23.18</v>
      </c>
      <c r="L7" s="496">
        <f t="shared" si="0"/>
        <v>3.1092858800000003</v>
      </c>
      <c r="M7" s="350">
        <f t="shared" si="1"/>
        <v>5.8962279999999999E-2</v>
      </c>
      <c r="N7" s="350">
        <f t="shared" si="1"/>
        <v>3.1682481600000001</v>
      </c>
      <c r="O7" s="88"/>
      <c r="DZ7">
        <v>-58962.28</v>
      </c>
      <c r="EA7">
        <v>-3168248.16</v>
      </c>
    </row>
    <row r="8" spans="1:131" ht="30" x14ac:dyDescent="0.25">
      <c r="A8" s="485" t="s">
        <v>84</v>
      </c>
      <c r="B8" s="485" t="s">
        <v>3</v>
      </c>
      <c r="C8" s="485" t="s">
        <v>309</v>
      </c>
      <c r="D8" s="485" t="s">
        <v>125</v>
      </c>
      <c r="E8" s="329" t="s">
        <v>40</v>
      </c>
      <c r="F8" s="458" t="s">
        <v>42</v>
      </c>
      <c r="G8" s="485" t="s">
        <v>14</v>
      </c>
      <c r="H8" s="93">
        <v>46296</v>
      </c>
      <c r="I8" s="485" t="s">
        <v>25</v>
      </c>
      <c r="J8" s="351">
        <v>40.880000000000003</v>
      </c>
      <c r="K8" s="351">
        <f>'Jan14'!K8</f>
        <v>35.590000000000003</v>
      </c>
      <c r="L8" s="497">
        <f t="shared" si="0"/>
        <v>4.51541689</v>
      </c>
      <c r="M8" s="351">
        <f t="shared" si="1"/>
        <v>8.1378119999999998E-2</v>
      </c>
      <c r="N8" s="351">
        <f t="shared" si="1"/>
        <v>4.5967950100000001</v>
      </c>
      <c r="O8" s="96"/>
      <c r="DZ8">
        <v>-81378.12</v>
      </c>
      <c r="EA8">
        <v>-4596795.01</v>
      </c>
    </row>
    <row r="9" spans="1:131" ht="15" x14ac:dyDescent="0.25">
      <c r="A9" s="111"/>
      <c r="B9" s="111"/>
      <c r="C9" s="111"/>
      <c r="D9" s="111"/>
      <c r="E9" s="123"/>
      <c r="F9" s="111"/>
      <c r="G9" s="111"/>
      <c r="H9" s="114"/>
      <c r="I9" s="111"/>
      <c r="J9" s="352"/>
      <c r="K9" s="352"/>
      <c r="L9" s="352"/>
      <c r="M9" s="352"/>
      <c r="N9" s="353"/>
      <c r="O9" s="353"/>
    </row>
    <row r="10" spans="1:131" ht="15" x14ac:dyDescent="0.25">
      <c r="A10" s="485"/>
      <c r="B10" s="485"/>
      <c r="C10" s="485"/>
      <c r="D10" s="485"/>
      <c r="E10" s="329"/>
      <c r="F10" s="485"/>
      <c r="G10" s="485"/>
      <c r="H10" s="93"/>
      <c r="I10" s="485"/>
      <c r="J10" s="351"/>
      <c r="K10" s="351"/>
      <c r="L10" s="351"/>
      <c r="M10" s="351"/>
      <c r="N10" s="96"/>
      <c r="O10" s="96"/>
    </row>
    <row r="11" spans="1:131" ht="15" x14ac:dyDescent="0.25">
      <c r="A11" s="901" t="s">
        <v>203</v>
      </c>
      <c r="B11" s="902"/>
      <c r="C11" s="902"/>
      <c r="D11" s="902"/>
      <c r="E11" s="902"/>
      <c r="F11" s="902"/>
      <c r="G11" s="902"/>
      <c r="H11" s="902"/>
      <c r="I11" s="902"/>
      <c r="J11" s="902"/>
      <c r="K11" s="902"/>
      <c r="L11" s="902"/>
      <c r="M11" s="902"/>
      <c r="N11" s="902"/>
      <c r="O11" s="903"/>
    </row>
    <row r="12" spans="1:131" ht="60" x14ac:dyDescent="0.25">
      <c r="A12" s="176" t="s">
        <v>89</v>
      </c>
      <c r="B12" s="176" t="s">
        <v>90</v>
      </c>
      <c r="C12" s="177" t="s">
        <v>0</v>
      </c>
      <c r="D12" s="180" t="s">
        <v>124</v>
      </c>
      <c r="E12" s="176" t="s">
        <v>143</v>
      </c>
      <c r="F12" s="176" t="s">
        <v>144</v>
      </c>
      <c r="G12" s="176" t="s">
        <v>13</v>
      </c>
      <c r="H12" s="382" t="s">
        <v>88</v>
      </c>
      <c r="I12" s="176" t="s">
        <v>12</v>
      </c>
      <c r="J12" s="400" t="s">
        <v>150</v>
      </c>
      <c r="K12" s="400" t="s">
        <v>151</v>
      </c>
      <c r="L12" s="400" t="s">
        <v>157</v>
      </c>
      <c r="M12" s="400" t="s">
        <v>149</v>
      </c>
      <c r="N12" s="400" t="s">
        <v>179</v>
      </c>
      <c r="O12" s="400" t="s">
        <v>205</v>
      </c>
    </row>
    <row r="13" spans="1:131" ht="15" x14ac:dyDescent="0.25">
      <c r="A13" s="184" t="s">
        <v>197</v>
      </c>
      <c r="B13" s="184"/>
      <c r="C13" s="185"/>
      <c r="D13" s="185"/>
      <c r="E13" s="184"/>
      <c r="F13" s="184"/>
      <c r="G13" s="184"/>
      <c r="H13" s="383"/>
      <c r="I13" s="184"/>
      <c r="J13" s="403"/>
      <c r="K13" s="403"/>
      <c r="L13" s="403"/>
      <c r="M13" s="403"/>
      <c r="N13" s="403"/>
      <c r="O13" s="404"/>
    </row>
    <row r="14" spans="1:131" ht="30" x14ac:dyDescent="0.25">
      <c r="A14" s="482" t="s">
        <v>8</v>
      </c>
      <c r="B14" s="541" t="s">
        <v>7</v>
      </c>
      <c r="C14" s="482" t="s">
        <v>239</v>
      </c>
      <c r="D14" s="482" t="s">
        <v>238</v>
      </c>
      <c r="E14" s="327" t="s">
        <v>32</v>
      </c>
      <c r="F14" s="485" t="s">
        <v>44</v>
      </c>
      <c r="G14" s="482" t="s">
        <v>22</v>
      </c>
      <c r="H14" s="483">
        <v>41820</v>
      </c>
      <c r="I14" s="482" t="s">
        <v>132</v>
      </c>
      <c r="J14" s="88">
        <v>19.27</v>
      </c>
      <c r="K14" s="88">
        <v>-13.74</v>
      </c>
      <c r="L14" s="488">
        <v>5.5299999999999994</v>
      </c>
      <c r="M14" s="88"/>
      <c r="N14" s="88"/>
      <c r="O14" s="88"/>
    </row>
    <row r="15" spans="1:131" ht="30" x14ac:dyDescent="0.25">
      <c r="A15" s="485" t="s">
        <v>8</v>
      </c>
      <c r="B15" s="485" t="s">
        <v>193</v>
      </c>
      <c r="C15" s="485" t="s">
        <v>239</v>
      </c>
      <c r="D15" s="485" t="s">
        <v>238</v>
      </c>
      <c r="E15" s="485" t="s">
        <v>32</v>
      </c>
      <c r="F15" s="485" t="s">
        <v>44</v>
      </c>
      <c r="G15" s="485" t="s">
        <v>22</v>
      </c>
      <c r="H15" s="385">
        <v>42185</v>
      </c>
      <c r="I15" s="485" t="s">
        <v>133</v>
      </c>
      <c r="J15" s="379">
        <v>13.19</v>
      </c>
      <c r="K15" s="379">
        <v>0</v>
      </c>
      <c r="L15" s="489">
        <v>13.19</v>
      </c>
      <c r="M15" s="379"/>
      <c r="N15" s="379"/>
      <c r="O15" s="379"/>
    </row>
    <row r="16" spans="1:131" ht="30" x14ac:dyDescent="0.25">
      <c r="A16" s="482" t="s">
        <v>8</v>
      </c>
      <c r="B16" s="482" t="s">
        <v>193</v>
      </c>
      <c r="C16" s="482" t="s">
        <v>239</v>
      </c>
      <c r="D16" s="482" t="s">
        <v>238</v>
      </c>
      <c r="E16" s="482" t="s">
        <v>32</v>
      </c>
      <c r="F16" s="485" t="s">
        <v>44</v>
      </c>
      <c r="G16" s="482" t="s">
        <v>22</v>
      </c>
      <c r="H16" s="386">
        <v>42551</v>
      </c>
      <c r="I16" s="482" t="s">
        <v>300</v>
      </c>
      <c r="J16" s="380">
        <v>1.0900000000000001</v>
      </c>
      <c r="K16" s="380">
        <v>0</v>
      </c>
      <c r="L16" s="488">
        <v>1.0900000000000001</v>
      </c>
      <c r="M16" s="380"/>
      <c r="N16" s="380"/>
      <c r="O16" s="380"/>
    </row>
    <row r="17" spans="1:15" ht="30" x14ac:dyDescent="0.25">
      <c r="A17" s="485" t="s">
        <v>8</v>
      </c>
      <c r="B17" s="485" t="s">
        <v>193</v>
      </c>
      <c r="C17" s="485" t="s">
        <v>239</v>
      </c>
      <c r="D17" s="485" t="s">
        <v>238</v>
      </c>
      <c r="E17" s="485" t="s">
        <v>32</v>
      </c>
      <c r="F17" s="485" t="s">
        <v>44</v>
      </c>
      <c r="G17" s="485" t="s">
        <v>22</v>
      </c>
      <c r="H17" s="385">
        <v>42916</v>
      </c>
      <c r="I17" s="485" t="s">
        <v>345</v>
      </c>
      <c r="J17" s="379">
        <v>0</v>
      </c>
      <c r="K17" s="379">
        <v>0</v>
      </c>
      <c r="L17" s="490">
        <v>0</v>
      </c>
      <c r="M17" s="379"/>
      <c r="N17" s="379"/>
      <c r="O17" s="379"/>
    </row>
    <row r="18" spans="1:15" ht="15" x14ac:dyDescent="0.25">
      <c r="A18" s="181"/>
      <c r="B18" s="181"/>
      <c r="C18" s="181"/>
      <c r="D18" s="181"/>
      <c r="E18" s="182"/>
      <c r="F18" s="181"/>
      <c r="G18" s="181"/>
      <c r="H18" s="183" t="s">
        <v>206</v>
      </c>
      <c r="I18" s="181"/>
      <c r="J18" s="354">
        <v>33.550000000000004</v>
      </c>
      <c r="K18" s="354">
        <v>-13.74</v>
      </c>
      <c r="L18" s="354">
        <v>19.809999999999999</v>
      </c>
      <c r="M18" s="354">
        <v>20.835576</v>
      </c>
      <c r="N18" s="354">
        <v>-1.025576</v>
      </c>
      <c r="O18" s="354">
        <v>35</v>
      </c>
    </row>
    <row r="19" spans="1:15" ht="15" x14ac:dyDescent="0.25">
      <c r="A19" s="181" t="s">
        <v>295</v>
      </c>
      <c r="B19" s="181"/>
      <c r="C19" s="181"/>
      <c r="D19" s="181"/>
      <c r="E19" s="182"/>
      <c r="F19" s="181"/>
      <c r="G19" s="181"/>
      <c r="H19" s="183"/>
      <c r="I19" s="181"/>
      <c r="J19" s="354"/>
      <c r="K19" s="354"/>
      <c r="L19" s="354"/>
      <c r="M19" s="354"/>
      <c r="N19" s="354"/>
      <c r="O19" s="354"/>
    </row>
    <row r="20" spans="1:15" ht="15" x14ac:dyDescent="0.25">
      <c r="A20" s="184" t="s">
        <v>327</v>
      </c>
      <c r="B20" s="184"/>
      <c r="C20" s="185"/>
      <c r="D20" s="185"/>
      <c r="E20" s="184"/>
      <c r="F20" s="184"/>
      <c r="G20" s="184"/>
      <c r="H20" s="383"/>
      <c r="I20" s="184"/>
      <c r="J20" s="459"/>
      <c r="K20" s="459"/>
      <c r="L20" s="459"/>
      <c r="M20" s="459"/>
      <c r="N20" s="459"/>
      <c r="O20" s="186"/>
    </row>
    <row r="21" spans="1:15" ht="30" x14ac:dyDescent="0.25">
      <c r="A21" s="482" t="s">
        <v>8</v>
      </c>
      <c r="B21" s="482" t="s">
        <v>7</v>
      </c>
      <c r="C21" s="482" t="s">
        <v>27</v>
      </c>
      <c r="D21" s="482" t="s">
        <v>127</v>
      </c>
      <c r="E21" s="327" t="s">
        <v>33</v>
      </c>
      <c r="F21" s="485" t="s">
        <v>44</v>
      </c>
      <c r="G21" s="482" t="s">
        <v>22</v>
      </c>
      <c r="H21" s="483">
        <v>41820</v>
      </c>
      <c r="I21" s="482" t="s">
        <v>138</v>
      </c>
      <c r="J21" s="88">
        <v>0.92112859999999996</v>
      </c>
      <c r="K21" s="88">
        <v>-0.92112859999999996</v>
      </c>
      <c r="L21" s="488">
        <v>0</v>
      </c>
      <c r="M21" s="486"/>
      <c r="N21" s="486"/>
      <c r="O21" s="486"/>
    </row>
    <row r="22" spans="1:15" ht="30" x14ac:dyDescent="0.25">
      <c r="A22" s="482" t="s">
        <v>8</v>
      </c>
      <c r="B22" s="485" t="s">
        <v>7</v>
      </c>
      <c r="C22" s="485" t="s">
        <v>27</v>
      </c>
      <c r="D22" s="485" t="s">
        <v>127</v>
      </c>
      <c r="E22" s="485" t="s">
        <v>33</v>
      </c>
      <c r="F22" s="485" t="s">
        <v>44</v>
      </c>
      <c r="G22" s="485" t="s">
        <v>22</v>
      </c>
      <c r="H22" s="385">
        <v>42185</v>
      </c>
      <c r="I22" s="485" t="s">
        <v>139</v>
      </c>
      <c r="J22" s="379"/>
      <c r="K22" s="379"/>
      <c r="L22" s="489">
        <v>0</v>
      </c>
      <c r="M22" s="484"/>
      <c r="N22" s="484"/>
      <c r="O22" s="484"/>
    </row>
    <row r="23" spans="1:15" ht="30" x14ac:dyDescent="0.25">
      <c r="A23" s="482" t="s">
        <v>8</v>
      </c>
      <c r="B23" s="482" t="s">
        <v>7</v>
      </c>
      <c r="C23" s="482" t="s">
        <v>27</v>
      </c>
      <c r="D23" s="482" t="s">
        <v>127</v>
      </c>
      <c r="E23" s="482" t="s">
        <v>33</v>
      </c>
      <c r="F23" s="485" t="s">
        <v>44</v>
      </c>
      <c r="G23" s="482" t="s">
        <v>22</v>
      </c>
      <c r="H23" s="386">
        <v>42551</v>
      </c>
      <c r="I23" s="482" t="s">
        <v>301</v>
      </c>
      <c r="J23" s="380"/>
      <c r="K23" s="380"/>
      <c r="L23" s="488">
        <v>0</v>
      </c>
      <c r="M23" s="487"/>
      <c r="N23" s="487"/>
      <c r="O23" s="487"/>
    </row>
    <row r="24" spans="1:15" ht="30" x14ac:dyDescent="0.25">
      <c r="A24" s="482" t="s">
        <v>8</v>
      </c>
      <c r="B24" s="485" t="s">
        <v>7</v>
      </c>
      <c r="C24" s="485" t="s">
        <v>27</v>
      </c>
      <c r="D24" s="485" t="s">
        <v>127</v>
      </c>
      <c r="E24" s="485" t="s">
        <v>33</v>
      </c>
      <c r="F24" s="485" t="s">
        <v>44</v>
      </c>
      <c r="G24" s="485" t="s">
        <v>22</v>
      </c>
      <c r="H24" s="385">
        <v>42916</v>
      </c>
      <c r="I24" s="485" t="s">
        <v>346</v>
      </c>
      <c r="J24" s="379"/>
      <c r="K24" s="379"/>
      <c r="L24" s="490">
        <v>0</v>
      </c>
      <c r="M24" s="484"/>
      <c r="N24" s="484"/>
      <c r="O24" s="484"/>
    </row>
    <row r="25" spans="1:15" ht="15" x14ac:dyDescent="0.25">
      <c r="A25" s="181" t="s">
        <v>324</v>
      </c>
      <c r="B25" s="181"/>
      <c r="C25" s="181"/>
      <c r="D25" s="181"/>
      <c r="E25" s="182"/>
      <c r="F25" s="181"/>
      <c r="G25" s="181"/>
      <c r="H25" s="183" t="s">
        <v>206</v>
      </c>
      <c r="I25" s="181"/>
      <c r="J25" s="354">
        <v>0.92112859999999996</v>
      </c>
      <c r="K25" s="354">
        <v>-0.92112859999999996</v>
      </c>
      <c r="L25" s="354">
        <v>0</v>
      </c>
      <c r="M25" s="354">
        <v>1.7952399999999875E-4</v>
      </c>
      <c r="N25" s="354">
        <v>-1.7952399999999875E-4</v>
      </c>
      <c r="O25" s="354"/>
    </row>
    <row r="26" spans="1:15" ht="15" x14ac:dyDescent="0.25">
      <c r="A26" s="181"/>
      <c r="B26" s="181"/>
      <c r="C26" s="181"/>
      <c r="D26" s="181"/>
      <c r="E26" s="182"/>
      <c r="F26" s="181"/>
      <c r="G26" s="181"/>
      <c r="H26" s="183"/>
      <c r="I26" s="181"/>
      <c r="J26" s="354"/>
      <c r="K26" s="354"/>
      <c r="L26" s="354"/>
      <c r="M26" s="354"/>
      <c r="N26" s="354"/>
      <c r="O26" s="354"/>
    </row>
    <row r="27" spans="1:15" ht="15" x14ac:dyDescent="0.25">
      <c r="A27" s="184" t="s">
        <v>328</v>
      </c>
      <c r="B27" s="184"/>
      <c r="C27" s="185"/>
      <c r="D27" s="185"/>
      <c r="E27" s="184"/>
      <c r="F27" s="184"/>
      <c r="G27" s="184"/>
      <c r="H27" s="383"/>
      <c r="I27" s="184"/>
      <c r="J27" s="459"/>
      <c r="K27" s="459"/>
      <c r="L27" s="459"/>
      <c r="M27" s="459"/>
      <c r="N27" s="459"/>
      <c r="O27" s="186"/>
    </row>
    <row r="28" spans="1:15" ht="30" x14ac:dyDescent="0.25">
      <c r="A28" s="482" t="s">
        <v>8</v>
      </c>
      <c r="B28" s="482" t="s">
        <v>7</v>
      </c>
      <c r="C28" s="482" t="s">
        <v>92</v>
      </c>
      <c r="D28" s="482" t="s">
        <v>128</v>
      </c>
      <c r="E28" s="327" t="s">
        <v>33</v>
      </c>
      <c r="F28" s="327" t="s">
        <v>45</v>
      </c>
      <c r="G28" s="482" t="s">
        <v>22</v>
      </c>
      <c r="H28" s="483">
        <v>41820</v>
      </c>
      <c r="I28" s="482" t="s">
        <v>138</v>
      </c>
      <c r="J28" s="88">
        <v>3.32167952</v>
      </c>
      <c r="K28" s="88">
        <v>-1.9725147199999999</v>
      </c>
      <c r="L28" s="488">
        <v>1.3491648000000001</v>
      </c>
      <c r="M28" s="379"/>
      <c r="N28" s="379"/>
      <c r="O28" s="379"/>
    </row>
    <row r="29" spans="1:15" ht="30" x14ac:dyDescent="0.25">
      <c r="A29" s="485" t="s">
        <v>8</v>
      </c>
      <c r="B29" s="485" t="s">
        <v>7</v>
      </c>
      <c r="C29" s="485" t="s">
        <v>92</v>
      </c>
      <c r="D29" s="485" t="s">
        <v>128</v>
      </c>
      <c r="E29" s="485" t="s">
        <v>33</v>
      </c>
      <c r="F29" s="485" t="s">
        <v>45</v>
      </c>
      <c r="G29" s="485" t="s">
        <v>22</v>
      </c>
      <c r="H29" s="385">
        <v>42185</v>
      </c>
      <c r="I29" s="485" t="s">
        <v>139</v>
      </c>
      <c r="J29" s="379">
        <v>1.5495680000000001</v>
      </c>
      <c r="K29" s="379">
        <v>0</v>
      </c>
      <c r="L29" s="489">
        <v>1.5495680000000001</v>
      </c>
      <c r="M29" s="380"/>
      <c r="N29" s="380"/>
      <c r="O29" s="380"/>
    </row>
    <row r="30" spans="1:15" ht="30" x14ac:dyDescent="0.25">
      <c r="A30" s="482" t="s">
        <v>8</v>
      </c>
      <c r="B30" s="482" t="s">
        <v>7</v>
      </c>
      <c r="C30" s="482" t="s">
        <v>92</v>
      </c>
      <c r="D30" s="482" t="s">
        <v>128</v>
      </c>
      <c r="E30" s="482" t="s">
        <v>33</v>
      </c>
      <c r="F30" s="482" t="s">
        <v>45</v>
      </c>
      <c r="G30" s="482" t="s">
        <v>22</v>
      </c>
      <c r="H30" s="386">
        <v>42551</v>
      </c>
      <c r="I30" s="482" t="s">
        <v>301</v>
      </c>
      <c r="J30" s="380">
        <v>0.72236800000000001</v>
      </c>
      <c r="K30" s="380">
        <v>0</v>
      </c>
      <c r="L30" s="488">
        <v>0.72236800000000001</v>
      </c>
      <c r="M30" s="379"/>
      <c r="N30" s="379"/>
      <c r="O30" s="379"/>
    </row>
    <row r="31" spans="1:15" ht="30" x14ac:dyDescent="0.25">
      <c r="A31" s="485" t="s">
        <v>8</v>
      </c>
      <c r="B31" s="485" t="s">
        <v>7</v>
      </c>
      <c r="C31" s="485" t="s">
        <v>92</v>
      </c>
      <c r="D31" s="485" t="s">
        <v>128</v>
      </c>
      <c r="E31" s="485" t="s">
        <v>33</v>
      </c>
      <c r="F31" s="485" t="s">
        <v>45</v>
      </c>
      <c r="G31" s="485" t="s">
        <v>22</v>
      </c>
      <c r="H31" s="385">
        <v>42916</v>
      </c>
      <c r="I31" s="485" t="s">
        <v>346</v>
      </c>
      <c r="J31" s="379">
        <v>0</v>
      </c>
      <c r="K31" s="379">
        <v>0</v>
      </c>
      <c r="L31" s="490">
        <v>0</v>
      </c>
      <c r="M31" s="380"/>
      <c r="N31" s="380"/>
      <c r="O31" s="380"/>
    </row>
    <row r="32" spans="1:15" ht="15" x14ac:dyDescent="0.25">
      <c r="A32" s="181" t="s">
        <v>325</v>
      </c>
      <c r="B32" s="181"/>
      <c r="C32" s="181"/>
      <c r="D32" s="181"/>
      <c r="E32" s="182"/>
      <c r="F32" s="181"/>
      <c r="G32" s="181"/>
      <c r="H32" s="183" t="s">
        <v>206</v>
      </c>
      <c r="I32" s="181"/>
      <c r="J32" s="354">
        <v>5.5936155200000002</v>
      </c>
      <c r="K32" s="354">
        <v>-1.9725147199999999</v>
      </c>
      <c r="L32" s="354">
        <v>3.6211008000000002</v>
      </c>
      <c r="M32" s="354">
        <v>4.4093459600000005</v>
      </c>
      <c r="N32" s="354">
        <v>-0.78824516000000011</v>
      </c>
      <c r="O32" s="354"/>
    </row>
    <row r="33" spans="1:15" ht="30" x14ac:dyDescent="0.25">
      <c r="A33" s="181" t="s">
        <v>331</v>
      </c>
      <c r="B33" s="181"/>
      <c r="C33" s="181"/>
      <c r="D33" s="181"/>
      <c r="E33" s="182"/>
      <c r="F33" s="181"/>
      <c r="G33" s="181"/>
      <c r="H33" s="183"/>
      <c r="I33" s="181"/>
      <c r="J33" s="354">
        <f>J32 + J25</f>
        <v>6.5147441200000005</v>
      </c>
      <c r="K33" s="354">
        <f>K32 + K25</f>
        <v>-2.8936433199999998</v>
      </c>
      <c r="L33" s="354">
        <f>L32 + L25</f>
        <v>3.6211008000000002</v>
      </c>
      <c r="M33" s="354">
        <f>M32 + M25</f>
        <v>4.4095254840000004</v>
      </c>
      <c r="N33" s="354">
        <f>IF(AND(N32&gt;0, N25&gt;0),N32 + N25,IF(AND(N32&gt;0, N25&lt;=0),N32,IF(AND(N32&lt;0, N25&gt;=0), N25,0)))</f>
        <v>0</v>
      </c>
      <c r="O33" s="354"/>
    </row>
    <row r="34" spans="1:15" ht="15" x14ac:dyDescent="0.25">
      <c r="A34" s="184" t="s">
        <v>298</v>
      </c>
      <c r="B34" s="184"/>
      <c r="C34" s="185"/>
      <c r="D34" s="185"/>
      <c r="E34" s="184"/>
      <c r="F34" s="184"/>
      <c r="G34" s="184"/>
      <c r="H34" s="383"/>
      <c r="I34" s="184"/>
      <c r="J34" s="403"/>
      <c r="K34" s="403"/>
      <c r="L34" s="403"/>
      <c r="M34" s="403"/>
      <c r="N34" s="403"/>
      <c r="O34" s="404"/>
    </row>
    <row r="35" spans="1:15" ht="15" x14ac:dyDescent="0.25">
      <c r="A35" s="901" t="s">
        <v>325</v>
      </c>
      <c r="B35" s="902"/>
      <c r="C35" s="902"/>
      <c r="D35" s="902"/>
      <c r="E35" s="902"/>
      <c r="F35" s="902"/>
      <c r="G35" s="902"/>
      <c r="H35" s="902"/>
      <c r="I35" s="902"/>
      <c r="J35" s="902"/>
      <c r="K35" s="902"/>
      <c r="L35" s="902"/>
      <c r="M35" s="902"/>
      <c r="N35" s="902"/>
      <c r="O35" s="903"/>
    </row>
    <row r="36" spans="1:15" ht="60" x14ac:dyDescent="0.25">
      <c r="A36" s="176" t="s">
        <v>89</v>
      </c>
      <c r="B36" s="176" t="s">
        <v>90</v>
      </c>
      <c r="C36" s="177" t="s">
        <v>0</v>
      </c>
      <c r="D36" s="177" t="s">
        <v>124</v>
      </c>
      <c r="E36" s="176" t="s">
        <v>143</v>
      </c>
      <c r="F36" s="176" t="s">
        <v>144</v>
      </c>
      <c r="G36" s="176" t="s">
        <v>13</v>
      </c>
      <c r="H36" s="382" t="s">
        <v>88</v>
      </c>
      <c r="I36" s="176" t="s">
        <v>12</v>
      </c>
      <c r="J36" s="400" t="s">
        <v>200</v>
      </c>
      <c r="K36" s="400" t="s">
        <v>199</v>
      </c>
      <c r="L36" s="400" t="s">
        <v>201</v>
      </c>
      <c r="M36" s="400" t="s">
        <v>149</v>
      </c>
      <c r="N36" s="400" t="s">
        <v>179</v>
      </c>
      <c r="O36" s="400" t="s">
        <v>304</v>
      </c>
    </row>
    <row r="37" spans="1:15" ht="30" x14ac:dyDescent="0.25">
      <c r="A37" s="485" t="s">
        <v>84</v>
      </c>
      <c r="B37" s="485" t="s">
        <v>9</v>
      </c>
      <c r="C37" s="485" t="s">
        <v>183</v>
      </c>
      <c r="D37" s="485" t="s">
        <v>142</v>
      </c>
      <c r="E37" s="329" t="s">
        <v>142</v>
      </c>
      <c r="F37" s="485" t="s">
        <v>142</v>
      </c>
      <c r="G37" s="485" t="s">
        <v>22</v>
      </c>
      <c r="H37" s="93">
        <v>41449</v>
      </c>
      <c r="I37" s="485" t="s">
        <v>172</v>
      </c>
      <c r="J37" s="96">
        <v>7.0349999999999996E-2</v>
      </c>
      <c r="K37" s="96" t="s">
        <v>299</v>
      </c>
      <c r="L37" s="292">
        <v>7.0349999999999996E-2</v>
      </c>
      <c r="M37" s="292">
        <f>+O37*50000/1000000</f>
        <v>6.6104999999999997E-2</v>
      </c>
      <c r="N37" s="292">
        <f>M37-L37</f>
        <v>-4.2449999999999988E-3</v>
      </c>
      <c r="O37" s="486">
        <v>1.3221000000000001</v>
      </c>
    </row>
    <row r="38" spans="1:15" ht="30" x14ac:dyDescent="0.25">
      <c r="A38" s="111" t="s">
        <v>297</v>
      </c>
      <c r="B38" s="99"/>
      <c r="C38" s="2"/>
      <c r="D38" s="2"/>
      <c r="E38" s="2"/>
      <c r="F38" s="2"/>
      <c r="G38" s="2"/>
      <c r="H38" s="3"/>
      <c r="I38" s="2"/>
      <c r="J38" s="293"/>
      <c r="K38" s="293"/>
      <c r="L38" s="491">
        <f>L37</f>
        <v>7.0349999999999996E-2</v>
      </c>
      <c r="M38" s="144"/>
      <c r="N38" s="491">
        <f>IF(N37&gt;0,N37,0)</f>
        <v>0</v>
      </c>
      <c r="O38" s="144"/>
    </row>
    <row r="39" spans="1:15" ht="15" x14ac:dyDescent="0.25">
      <c r="A39" s="99"/>
      <c r="B39" s="99"/>
      <c r="C39" s="99"/>
      <c r="D39" s="99"/>
      <c r="E39" s="99"/>
      <c r="F39" s="99"/>
      <c r="G39" s="99"/>
      <c r="H39" s="388"/>
      <c r="I39" s="99"/>
      <c r="J39" s="144"/>
      <c r="K39" s="144"/>
      <c r="L39" s="144"/>
      <c r="M39" s="144"/>
      <c r="N39" s="144"/>
      <c r="O39" s="144"/>
    </row>
    <row r="40" spans="1:15" ht="15" x14ac:dyDescent="0.25">
      <c r="A40" s="99"/>
      <c r="B40" s="99"/>
      <c r="C40" s="99"/>
      <c r="D40" s="99"/>
      <c r="E40" s="99"/>
      <c r="F40" s="99"/>
      <c r="G40" s="99"/>
      <c r="H40" s="388"/>
      <c r="I40" s="99"/>
      <c r="J40" s="77"/>
      <c r="K40" s="144"/>
      <c r="L40" s="144"/>
      <c r="M40" s="77"/>
      <c r="N40" s="77"/>
      <c r="O40" s="77"/>
    </row>
    <row r="41" spans="1:15" ht="15" x14ac:dyDescent="0.25">
      <c r="A41" s="99"/>
      <c r="B41" s="99"/>
      <c r="C41" s="99"/>
      <c r="D41" s="99"/>
      <c r="E41" s="99"/>
      <c r="F41" s="99"/>
      <c r="G41" s="99"/>
      <c r="H41" s="388"/>
      <c r="I41" s="99"/>
      <c r="J41" s="77"/>
      <c r="K41" s="77"/>
      <c r="L41" s="77"/>
      <c r="M41" s="77"/>
      <c r="N41" s="77"/>
      <c r="O41" s="77"/>
    </row>
    <row r="42" spans="1:15" ht="15" x14ac:dyDescent="0.25">
      <c r="A42" s="99"/>
      <c r="B42" s="99"/>
      <c r="C42" s="99"/>
      <c r="D42" s="99"/>
      <c r="E42" s="99"/>
      <c r="F42" s="99"/>
      <c r="G42" s="99"/>
      <c r="H42" s="388"/>
      <c r="I42" s="99"/>
      <c r="J42" s="77"/>
      <c r="K42" s="77"/>
      <c r="L42" s="77"/>
      <c r="M42" s="77"/>
      <c r="N42" s="77"/>
      <c r="O42" s="77"/>
    </row>
    <row r="43" spans="1:15" ht="15" x14ac:dyDescent="0.25">
      <c r="A43" s="99"/>
      <c r="B43" s="99"/>
      <c r="C43" s="99"/>
      <c r="D43" s="99"/>
      <c r="E43" s="99"/>
      <c r="F43" s="99"/>
      <c r="G43" s="99"/>
      <c r="H43" s="388"/>
      <c r="I43" s="99"/>
      <c r="J43" s="77"/>
      <c r="K43" s="77"/>
      <c r="L43" s="77"/>
      <c r="M43" s="77"/>
      <c r="N43" s="77"/>
      <c r="O43" s="77"/>
    </row>
    <row r="44" spans="1:15" ht="15" x14ac:dyDescent="0.25">
      <c r="A44" s="99"/>
      <c r="B44" s="99"/>
      <c r="C44" s="99"/>
      <c r="D44" s="99"/>
      <c r="E44" s="99"/>
      <c r="F44" s="99"/>
      <c r="G44" s="99"/>
      <c r="H44" s="388"/>
      <c r="I44" s="99"/>
      <c r="J44" s="77"/>
      <c r="K44" s="77"/>
      <c r="L44" s="77"/>
      <c r="M44" s="77"/>
      <c r="N44" s="77"/>
      <c r="O44" s="77"/>
    </row>
    <row r="45" spans="1:15" ht="15" x14ac:dyDescent="0.25">
      <c r="A45" s="99"/>
      <c r="B45" s="99"/>
      <c r="C45" s="99"/>
      <c r="D45" s="99"/>
      <c r="E45" s="99"/>
      <c r="F45" s="99"/>
      <c r="G45" s="99"/>
      <c r="H45" s="388"/>
      <c r="I45" s="99"/>
      <c r="J45" s="77"/>
      <c r="K45" s="77"/>
      <c r="L45" s="77"/>
      <c r="M45" s="77"/>
      <c r="N45" s="77"/>
      <c r="O45" s="77"/>
    </row>
    <row r="46" spans="1:15" ht="15" x14ac:dyDescent="0.25">
      <c r="A46" s="99"/>
      <c r="B46" s="99"/>
      <c r="C46" s="99"/>
      <c r="D46" s="99"/>
      <c r="E46" s="99"/>
      <c r="F46" s="99"/>
      <c r="G46" s="99"/>
      <c r="H46" s="388"/>
      <c r="I46" s="99"/>
      <c r="J46" s="77"/>
      <c r="K46" s="77"/>
      <c r="L46" s="77"/>
      <c r="M46" s="77"/>
      <c r="N46" s="77"/>
      <c r="O46" s="77"/>
    </row>
    <row r="47" spans="1:15" ht="15.6" thickBot="1" x14ac:dyDescent="0.3">
      <c r="A47" s="904"/>
      <c r="B47" s="904"/>
      <c r="C47" s="904"/>
      <c r="D47" s="904"/>
      <c r="E47" s="904"/>
      <c r="F47" s="904"/>
      <c r="G47" s="904"/>
      <c r="H47" s="904"/>
      <c r="I47" s="904"/>
      <c r="J47" s="904"/>
      <c r="K47" s="904"/>
      <c r="L47" s="904"/>
      <c r="M47" s="904"/>
      <c r="N47" s="904"/>
      <c r="O47" s="904"/>
    </row>
    <row r="48" spans="1:15" ht="15.6" x14ac:dyDescent="0.3">
      <c r="A48" s="905"/>
      <c r="B48" s="905"/>
      <c r="C48" s="905"/>
      <c r="D48" s="905"/>
      <c r="E48" s="905"/>
      <c r="F48" s="905"/>
      <c r="G48" s="99"/>
      <c r="H48" s="388"/>
      <c r="I48" s="99"/>
      <c r="J48" s="77"/>
      <c r="K48" s="77"/>
      <c r="L48" s="77"/>
      <c r="M48" s="77"/>
      <c r="N48" s="77"/>
      <c r="O48" s="77"/>
    </row>
    <row r="49" spans="1:15" ht="15.6" x14ac:dyDescent="0.3">
      <c r="A49" s="202"/>
      <c r="B49" s="203"/>
      <c r="C49" s="203"/>
      <c r="D49" s="202"/>
      <c r="E49" s="202"/>
      <c r="F49" s="202"/>
      <c r="G49" s="99"/>
      <c r="H49" s="384"/>
      <c r="I49" s="99"/>
      <c r="J49" s="77"/>
      <c r="K49" s="77"/>
      <c r="L49" s="77"/>
      <c r="M49" s="77"/>
      <c r="N49" s="77"/>
      <c r="O49" s="77"/>
    </row>
    <row r="50" spans="1:15" ht="15" x14ac:dyDescent="0.25">
      <c r="A50" s="391"/>
      <c r="B50" s="391"/>
      <c r="C50" s="391"/>
      <c r="D50" s="391"/>
      <c r="E50" s="391"/>
      <c r="F50" s="391"/>
      <c r="G50" s="99"/>
      <c r="H50" s="388"/>
      <c r="I50" s="99"/>
      <c r="J50" s="77"/>
      <c r="K50" s="77"/>
      <c r="L50" s="77"/>
      <c r="M50" s="77"/>
      <c r="N50" s="77"/>
      <c r="O50" s="77"/>
    </row>
    <row r="51" spans="1:15" ht="15" x14ac:dyDescent="0.25">
      <c r="A51" s="395"/>
      <c r="B51" s="392"/>
      <c r="C51" s="392"/>
      <c r="D51" s="392"/>
      <c r="E51" s="392"/>
      <c r="F51" s="205"/>
      <c r="G51" s="99"/>
      <c r="H51" s="388"/>
      <c r="I51" s="99"/>
      <c r="J51" s="77"/>
      <c r="K51" s="77"/>
      <c r="L51" s="77"/>
      <c r="M51" s="77"/>
      <c r="N51" s="77"/>
      <c r="O51" s="77"/>
    </row>
    <row r="52" spans="1:15" ht="15" x14ac:dyDescent="0.25">
      <c r="A52" s="395"/>
      <c r="B52" s="392"/>
      <c r="C52" s="392"/>
      <c r="D52" s="392"/>
      <c r="E52" s="392"/>
      <c r="F52" s="205"/>
      <c r="G52" s="99"/>
      <c r="H52" s="388"/>
      <c r="I52" s="99"/>
      <c r="J52" s="77"/>
      <c r="K52" s="77"/>
      <c r="L52" s="77"/>
      <c r="M52" s="77"/>
      <c r="N52" s="77"/>
      <c r="O52" s="77"/>
    </row>
    <row r="53" spans="1:15" ht="15" x14ac:dyDescent="0.25">
      <c r="A53" s="391"/>
      <c r="B53" s="392"/>
      <c r="C53" s="392"/>
      <c r="D53" s="392"/>
      <c r="E53" s="392"/>
      <c r="F53" s="205"/>
      <c r="G53" s="99"/>
      <c r="H53" s="388"/>
      <c r="I53" s="99"/>
      <c r="J53" s="77"/>
      <c r="K53" s="77"/>
      <c r="L53" s="77"/>
      <c r="M53" s="77"/>
      <c r="N53" s="77"/>
      <c r="O53" s="77"/>
    </row>
    <row r="54" spans="1:15" ht="15" x14ac:dyDescent="0.25">
      <c r="A54" s="395"/>
      <c r="B54" s="392"/>
      <c r="C54" s="392"/>
      <c r="D54" s="392"/>
      <c r="E54" s="392"/>
      <c r="F54" s="205"/>
      <c r="G54" s="99"/>
      <c r="H54" s="388"/>
      <c r="I54" s="99"/>
      <c r="J54" s="77"/>
      <c r="K54" s="77"/>
      <c r="L54" s="77"/>
      <c r="M54" s="77"/>
      <c r="N54" s="77"/>
      <c r="O54" s="77"/>
    </row>
    <row r="55" spans="1:15" ht="15" x14ac:dyDescent="0.25">
      <c r="A55" s="391"/>
      <c r="B55" s="392"/>
      <c r="C55" s="392"/>
      <c r="D55" s="392"/>
      <c r="E55" s="392"/>
      <c r="F55" s="205"/>
      <c r="G55" s="99"/>
      <c r="H55" s="388"/>
      <c r="I55" s="99"/>
      <c r="J55" s="77"/>
      <c r="K55" s="77"/>
      <c r="L55" s="77"/>
      <c r="M55" s="77"/>
      <c r="N55" s="77"/>
      <c r="O55" s="77"/>
    </row>
    <row r="56" spans="1:15" ht="15" x14ac:dyDescent="0.25">
      <c r="A56" s="391"/>
      <c r="B56" s="392"/>
      <c r="C56" s="392"/>
      <c r="D56" s="392"/>
      <c r="E56" s="392"/>
      <c r="F56" s="205"/>
      <c r="G56" s="99"/>
      <c r="H56" s="388"/>
      <c r="I56" s="99"/>
      <c r="J56" s="77"/>
      <c r="K56" s="77"/>
      <c r="L56" s="77"/>
      <c r="M56" s="77"/>
      <c r="N56" s="77"/>
      <c r="O56" s="77"/>
    </row>
    <row r="57" spans="1:15" ht="16.8" x14ac:dyDescent="0.4">
      <c r="A57" s="391"/>
      <c r="B57" s="393"/>
      <c r="C57" s="393"/>
      <c r="D57" s="393"/>
      <c r="E57" s="393"/>
      <c r="F57" s="207"/>
      <c r="G57" s="99"/>
      <c r="H57" s="389"/>
      <c r="I57" s="99"/>
      <c r="J57" s="77"/>
      <c r="K57" s="77"/>
      <c r="L57" s="77"/>
      <c r="M57" s="77"/>
      <c r="N57" s="77"/>
      <c r="O57" s="77"/>
    </row>
    <row r="58" spans="1:15" ht="16.8" x14ac:dyDescent="0.4">
      <c r="A58" s="391"/>
      <c r="B58" s="394"/>
      <c r="C58" s="394"/>
      <c r="D58" s="394"/>
      <c r="E58" s="394"/>
      <c r="F58" s="210"/>
      <c r="G58" s="99"/>
      <c r="H58" s="390"/>
      <c r="I58" s="99"/>
      <c r="J58" s="77"/>
      <c r="K58" s="77"/>
      <c r="L58" s="77"/>
      <c r="M58" s="77"/>
      <c r="N58" s="77"/>
      <c r="O58" s="77"/>
    </row>
    <row r="59" spans="1:15" ht="15" x14ac:dyDescent="0.25">
      <c r="A59" s="391"/>
      <c r="B59" s="391"/>
      <c r="C59" s="391"/>
      <c r="D59" s="391"/>
      <c r="E59" s="391"/>
      <c r="F59" s="391"/>
      <c r="G59" s="99"/>
      <c r="H59" s="388"/>
      <c r="I59" s="99"/>
      <c r="J59" s="77"/>
      <c r="K59" s="77"/>
      <c r="L59" s="77"/>
      <c r="M59" s="77"/>
      <c r="N59" s="77"/>
      <c r="O59" s="77"/>
    </row>
    <row r="60" spans="1:15" ht="15" x14ac:dyDescent="0.25">
      <c r="A60" s="99"/>
      <c r="B60" s="99"/>
      <c r="C60" s="99"/>
      <c r="D60" s="99"/>
      <c r="E60" s="99"/>
      <c r="F60" s="99"/>
      <c r="G60" s="99"/>
      <c r="H60" s="388"/>
      <c r="I60" s="99"/>
      <c r="J60" s="77"/>
      <c r="K60" s="77"/>
      <c r="L60" s="77"/>
      <c r="M60" s="77"/>
      <c r="N60" s="77"/>
      <c r="O60" s="77"/>
    </row>
    <row r="61" spans="1:15" ht="15" x14ac:dyDescent="0.25">
      <c r="A61" s="99"/>
      <c r="B61" s="99"/>
      <c r="C61" s="99"/>
      <c r="D61" s="99"/>
      <c r="E61" s="99"/>
      <c r="F61" s="99"/>
      <c r="G61" s="99"/>
      <c r="H61" s="388"/>
      <c r="I61" s="99"/>
      <c r="J61" s="77"/>
      <c r="K61" s="77"/>
      <c r="L61" s="77"/>
      <c r="M61" s="77"/>
      <c r="N61" s="77"/>
      <c r="O61" s="77"/>
    </row>
    <row r="62" spans="1:15" ht="15" x14ac:dyDescent="0.25">
      <c r="A62" s="99"/>
      <c r="B62" s="99"/>
      <c r="C62" s="99"/>
      <c r="D62" s="99"/>
      <c r="E62" s="99"/>
      <c r="F62" s="99"/>
      <c r="G62" s="99"/>
      <c r="H62" s="388"/>
      <c r="I62" s="99"/>
      <c r="J62" s="77"/>
      <c r="K62" s="77"/>
      <c r="L62" s="77"/>
      <c r="M62" s="77"/>
      <c r="N62" s="77"/>
      <c r="O62" s="77"/>
    </row>
    <row r="63" spans="1:15" ht="15" x14ac:dyDescent="0.25">
      <c r="A63" s="99"/>
      <c r="B63" s="99"/>
      <c r="C63" s="99"/>
      <c r="D63" s="99"/>
      <c r="E63" s="99"/>
      <c r="F63" s="99"/>
      <c r="G63" s="99"/>
      <c r="H63" s="388"/>
      <c r="I63" s="99"/>
      <c r="J63" s="77"/>
      <c r="K63" s="77"/>
      <c r="L63" s="77"/>
      <c r="M63" s="77"/>
      <c r="N63" s="77"/>
      <c r="O63" s="77"/>
    </row>
    <row r="64" spans="1:15" ht="15" x14ac:dyDescent="0.25">
      <c r="A64" s="99"/>
      <c r="B64" s="99"/>
      <c r="C64" s="99"/>
      <c r="D64" s="99"/>
      <c r="E64" s="99"/>
      <c r="F64" s="99"/>
      <c r="G64" s="99"/>
      <c r="H64" s="388"/>
      <c r="I64" s="99"/>
      <c r="J64" s="77"/>
      <c r="K64" s="77"/>
      <c r="L64" s="77"/>
      <c r="M64" s="77"/>
      <c r="N64" s="77"/>
      <c r="O64" s="77"/>
    </row>
    <row r="65" spans="1:15" ht="15" x14ac:dyDescent="0.25">
      <c r="A65" s="99"/>
      <c r="B65" s="99"/>
      <c r="C65" s="99"/>
      <c r="D65" s="99"/>
      <c r="E65" s="99"/>
      <c r="F65" s="99"/>
      <c r="G65" s="99"/>
      <c r="H65" s="388"/>
      <c r="I65" s="99"/>
      <c r="J65" s="77"/>
      <c r="K65" s="77"/>
      <c r="L65" s="77"/>
      <c r="M65" s="77"/>
      <c r="N65" s="77"/>
      <c r="O65" s="77"/>
    </row>
    <row r="66" spans="1:15" ht="15" x14ac:dyDescent="0.25">
      <c r="A66" s="99"/>
      <c r="B66" s="99"/>
      <c r="C66" s="99"/>
      <c r="D66" s="99"/>
      <c r="E66" s="99"/>
      <c r="F66" s="99"/>
      <c r="G66" s="99"/>
      <c r="H66" s="388"/>
      <c r="I66" s="99"/>
      <c r="J66" s="77"/>
      <c r="K66" s="77"/>
      <c r="L66" s="77"/>
      <c r="M66" s="77"/>
      <c r="N66" s="77"/>
      <c r="O66" s="77"/>
    </row>
    <row r="67" spans="1:15" ht="15" x14ac:dyDescent="0.25">
      <c r="A67" s="99"/>
      <c r="B67" s="99"/>
      <c r="C67" s="99"/>
      <c r="D67" s="99"/>
      <c r="E67" s="99"/>
      <c r="F67" s="99"/>
      <c r="G67" s="99"/>
      <c r="H67" s="388"/>
      <c r="I67" s="99"/>
      <c r="J67" s="77"/>
      <c r="K67" s="77"/>
      <c r="L67" s="77"/>
      <c r="M67" s="77"/>
      <c r="N67" s="77"/>
      <c r="O67" s="77"/>
    </row>
    <row r="68" spans="1:15" ht="15" x14ac:dyDescent="0.25">
      <c r="A68" s="99"/>
      <c r="B68" s="99"/>
      <c r="C68" s="99"/>
      <c r="D68" s="99"/>
      <c r="E68" s="99"/>
      <c r="F68" s="99"/>
      <c r="G68" s="99"/>
      <c r="H68" s="388"/>
      <c r="I68" s="99"/>
      <c r="J68" s="77"/>
      <c r="K68" s="77"/>
      <c r="L68" s="77"/>
      <c r="M68" s="77"/>
      <c r="N68" s="77"/>
      <c r="O68" s="77"/>
    </row>
    <row r="69" spans="1:15" ht="15" x14ac:dyDescent="0.25">
      <c r="A69" s="99"/>
      <c r="B69" s="99"/>
      <c r="C69" s="99"/>
      <c r="D69" s="99"/>
      <c r="E69" s="99"/>
      <c r="F69" s="99"/>
      <c r="G69" s="99"/>
      <c r="H69" s="388"/>
      <c r="I69" s="99"/>
      <c r="J69" s="77"/>
      <c r="K69" s="77"/>
      <c r="L69" s="77"/>
      <c r="M69" s="77"/>
      <c r="N69" s="77"/>
      <c r="O69" s="77"/>
    </row>
    <row r="70" spans="1:15" ht="15" x14ac:dyDescent="0.25">
      <c r="A70" s="99"/>
      <c r="B70" s="99"/>
      <c r="C70" s="99"/>
      <c r="D70" s="99"/>
      <c r="E70" s="99"/>
      <c r="F70" s="99"/>
      <c r="G70" s="99"/>
      <c r="H70" s="388"/>
      <c r="I70" s="99"/>
      <c r="J70" s="77"/>
      <c r="K70" s="77"/>
      <c r="L70" s="77"/>
      <c r="M70" s="77"/>
      <c r="N70" s="77"/>
      <c r="O70" s="77"/>
    </row>
    <row r="71" spans="1:15" ht="15" x14ac:dyDescent="0.25">
      <c r="A71" s="99"/>
      <c r="B71" s="99"/>
      <c r="C71" s="99"/>
      <c r="D71" s="99"/>
      <c r="E71" s="99"/>
      <c r="F71" s="99"/>
      <c r="G71" s="99"/>
      <c r="H71" s="388"/>
      <c r="I71" s="99"/>
      <c r="J71" s="77"/>
      <c r="K71" s="77"/>
      <c r="L71" s="77"/>
      <c r="M71" s="77"/>
      <c r="N71" s="77"/>
      <c r="O71" s="77"/>
    </row>
    <row r="72" spans="1:15" ht="15" x14ac:dyDescent="0.25">
      <c r="A72" s="99"/>
      <c r="B72" s="99"/>
      <c r="C72" s="99"/>
      <c r="D72" s="99"/>
      <c r="E72" s="99"/>
      <c r="F72" s="99"/>
      <c r="G72" s="99"/>
      <c r="H72" s="388"/>
      <c r="I72" s="99"/>
      <c r="J72" s="77"/>
      <c r="K72" s="77"/>
      <c r="L72" s="77"/>
      <c r="M72" s="77"/>
      <c r="N72" s="77"/>
      <c r="O72" s="77"/>
    </row>
    <row r="73" spans="1:15" ht="15" x14ac:dyDescent="0.25">
      <c r="A73" s="99"/>
      <c r="B73" s="99"/>
      <c r="C73" s="99"/>
      <c r="D73" s="99"/>
      <c r="E73" s="99"/>
      <c r="F73" s="99"/>
      <c r="G73" s="99"/>
      <c r="H73" s="388"/>
      <c r="I73" s="99"/>
      <c r="J73" s="77"/>
      <c r="K73" s="77"/>
      <c r="L73" s="77"/>
      <c r="M73" s="77"/>
      <c r="N73" s="77"/>
      <c r="O73" s="77"/>
    </row>
    <row r="74" spans="1:15" ht="15" x14ac:dyDescent="0.25">
      <c r="A74" s="99"/>
      <c r="B74" s="99"/>
      <c r="C74" s="99"/>
      <c r="D74" s="99"/>
      <c r="E74" s="99"/>
      <c r="F74" s="99"/>
      <c r="G74" s="99"/>
      <c r="H74" s="388"/>
      <c r="I74" s="99"/>
      <c r="J74" s="77"/>
      <c r="K74" s="77"/>
      <c r="L74" s="77"/>
      <c r="M74" s="77"/>
      <c r="N74" s="77"/>
      <c r="O74" s="77"/>
    </row>
    <row r="75" spans="1:15" ht="15" x14ac:dyDescent="0.25">
      <c r="A75" s="99"/>
      <c r="B75" s="99"/>
      <c r="C75" s="99"/>
      <c r="D75" s="99"/>
      <c r="E75" s="99"/>
      <c r="F75" s="99"/>
      <c r="G75" s="99"/>
      <c r="H75" s="388"/>
      <c r="I75" s="99"/>
      <c r="J75" s="77"/>
      <c r="K75" s="77"/>
      <c r="L75" s="77"/>
      <c r="M75" s="77"/>
      <c r="N75" s="77"/>
      <c r="O75" s="77"/>
    </row>
    <row r="76" spans="1:15" ht="15" x14ac:dyDescent="0.25">
      <c r="A76" s="99"/>
      <c r="B76" s="99"/>
      <c r="C76" s="99"/>
      <c r="D76" s="99"/>
      <c r="E76" s="99"/>
      <c r="F76" s="99"/>
      <c r="G76" s="99"/>
      <c r="H76" s="388"/>
      <c r="I76" s="99"/>
      <c r="J76" s="77"/>
      <c r="K76" s="77"/>
      <c r="L76" s="77"/>
      <c r="M76" s="77"/>
      <c r="N76" s="77"/>
      <c r="O76" s="77"/>
    </row>
    <row r="77" spans="1:15" ht="15" x14ac:dyDescent="0.25">
      <c r="A77" s="99"/>
      <c r="B77" s="99"/>
      <c r="C77" s="99"/>
      <c r="D77" s="99"/>
      <c r="E77" s="99"/>
      <c r="F77" s="99"/>
      <c r="G77" s="99"/>
      <c r="H77" s="388"/>
      <c r="I77" s="99"/>
      <c r="J77" s="77"/>
      <c r="K77" s="77"/>
      <c r="L77" s="77"/>
      <c r="M77" s="77"/>
      <c r="N77" s="77"/>
      <c r="O77" s="77"/>
    </row>
    <row r="78" spans="1:15" ht="15" x14ac:dyDescent="0.25">
      <c r="A78" s="99"/>
      <c r="B78" s="99"/>
      <c r="C78" s="99"/>
      <c r="D78" s="99"/>
      <c r="E78" s="99"/>
      <c r="F78" s="99"/>
      <c r="G78" s="99"/>
      <c r="H78" s="388"/>
      <c r="I78" s="99"/>
      <c r="J78" s="77"/>
      <c r="K78" s="77"/>
      <c r="L78" s="77"/>
      <c r="M78" s="77"/>
      <c r="N78" s="77"/>
      <c r="O78" s="77"/>
    </row>
    <row r="79" spans="1:15" ht="15" x14ac:dyDescent="0.25">
      <c r="A79" s="99"/>
      <c r="B79" s="99"/>
      <c r="C79" s="99"/>
      <c r="D79" s="99"/>
      <c r="E79" s="99"/>
      <c r="F79" s="99"/>
      <c r="G79" s="99"/>
      <c r="H79" s="388"/>
      <c r="I79" s="99"/>
      <c r="J79" s="77"/>
      <c r="K79" s="77"/>
      <c r="L79" s="77"/>
      <c r="M79" s="77"/>
      <c r="N79" s="77"/>
      <c r="O79" s="77"/>
    </row>
    <row r="80" spans="1:15" ht="15" x14ac:dyDescent="0.25">
      <c r="A80" s="99"/>
      <c r="B80" s="99"/>
      <c r="C80" s="99"/>
      <c r="D80" s="99"/>
      <c r="E80" s="99"/>
      <c r="F80" s="99"/>
      <c r="G80" s="99"/>
      <c r="H80" s="388"/>
      <c r="I80" s="99"/>
      <c r="J80" s="77"/>
      <c r="K80" s="77"/>
      <c r="L80" s="77"/>
      <c r="M80" s="77"/>
      <c r="N80" s="77"/>
      <c r="O80" s="77"/>
    </row>
    <row r="81" spans="1:15" ht="15" x14ac:dyDescent="0.25">
      <c r="A81" s="99"/>
      <c r="B81" s="99"/>
      <c r="C81" s="99"/>
      <c r="D81" s="99"/>
      <c r="E81" s="99"/>
      <c r="F81" s="99"/>
      <c r="G81" s="99"/>
      <c r="H81" s="388"/>
      <c r="I81" s="99"/>
      <c r="J81" s="77"/>
      <c r="K81" s="77"/>
      <c r="L81" s="77"/>
      <c r="M81" s="77"/>
      <c r="N81" s="77"/>
      <c r="O81" s="77"/>
    </row>
    <row r="82" spans="1:15" ht="15" x14ac:dyDescent="0.25">
      <c r="A82" s="99"/>
      <c r="B82" s="99"/>
      <c r="C82" s="99"/>
      <c r="D82" s="99"/>
      <c r="E82" s="99"/>
      <c r="F82" s="99"/>
      <c r="G82" s="99"/>
      <c r="H82" s="388"/>
      <c r="I82" s="99"/>
      <c r="J82" s="77"/>
      <c r="K82" s="77"/>
      <c r="L82" s="77"/>
      <c r="M82" s="77"/>
      <c r="N82" s="77"/>
      <c r="O82" s="77"/>
    </row>
    <row r="83" spans="1:15" ht="15" x14ac:dyDescent="0.25">
      <c r="A83" s="99"/>
      <c r="B83" s="99"/>
      <c r="C83" s="99"/>
      <c r="D83" s="99"/>
      <c r="E83" s="99"/>
      <c r="F83" s="99"/>
      <c r="G83" s="99"/>
      <c r="H83" s="388"/>
      <c r="I83" s="99"/>
      <c r="J83" s="77"/>
      <c r="K83" s="77"/>
      <c r="L83" s="77"/>
      <c r="M83" s="77"/>
      <c r="N83" s="77"/>
      <c r="O83" s="77"/>
    </row>
    <row r="84" spans="1:15" ht="15" x14ac:dyDescent="0.25">
      <c r="A84" s="99"/>
      <c r="B84" s="99"/>
      <c r="C84" s="99"/>
      <c r="D84" s="99"/>
      <c r="E84" s="99"/>
      <c r="F84" s="99"/>
      <c r="G84" s="99"/>
      <c r="H84" s="388"/>
      <c r="I84" s="99"/>
      <c r="J84" s="77"/>
      <c r="K84" s="77"/>
      <c r="L84" s="77"/>
      <c r="M84" s="77"/>
      <c r="N84" s="77"/>
      <c r="O84" s="77"/>
    </row>
    <row r="85" spans="1:15" ht="15" x14ac:dyDescent="0.25">
      <c r="A85" s="99"/>
      <c r="B85" s="99"/>
      <c r="C85" s="99"/>
      <c r="D85" s="99"/>
      <c r="E85" s="99"/>
      <c r="F85" s="99"/>
      <c r="G85" s="99"/>
      <c r="H85" s="388"/>
      <c r="I85" s="99"/>
      <c r="J85" s="77"/>
      <c r="K85" s="77"/>
      <c r="L85" s="77"/>
      <c r="M85" s="77"/>
      <c r="N85" s="77"/>
      <c r="O85" s="77"/>
    </row>
    <row r="86" spans="1:15" ht="15" x14ac:dyDescent="0.25">
      <c r="A86" s="99"/>
      <c r="B86" s="99"/>
      <c r="C86" s="99"/>
      <c r="D86" s="99"/>
      <c r="E86" s="99"/>
      <c r="F86" s="99"/>
      <c r="G86" s="99"/>
      <c r="H86" s="388"/>
      <c r="I86" s="99"/>
      <c r="J86" s="77"/>
      <c r="K86" s="77"/>
      <c r="L86" s="77"/>
      <c r="M86" s="77"/>
      <c r="N86" s="77"/>
      <c r="O86" s="77"/>
    </row>
    <row r="87" spans="1:15" ht="15" x14ac:dyDescent="0.25">
      <c r="A87" s="99"/>
      <c r="B87" s="99"/>
      <c r="C87" s="99"/>
      <c r="D87" s="99"/>
      <c r="E87" s="99"/>
      <c r="F87" s="99"/>
      <c r="G87" s="99"/>
      <c r="H87" s="388"/>
      <c r="I87" s="99"/>
      <c r="J87" s="77"/>
      <c r="K87" s="77"/>
      <c r="L87" s="77"/>
      <c r="M87" s="77"/>
      <c r="N87" s="77"/>
      <c r="O87" s="77"/>
    </row>
    <row r="88" spans="1:15" ht="15" x14ac:dyDescent="0.25">
      <c r="A88" s="99"/>
      <c r="B88" s="99"/>
      <c r="C88" s="99"/>
      <c r="D88" s="99"/>
      <c r="E88" s="99"/>
      <c r="F88" s="99"/>
      <c r="G88" s="99"/>
      <c r="H88" s="388"/>
      <c r="I88" s="99"/>
      <c r="J88" s="77"/>
      <c r="K88" s="77"/>
      <c r="L88" s="77"/>
      <c r="M88" s="77"/>
      <c r="N88" s="77"/>
      <c r="O88" s="77"/>
    </row>
    <row r="89" spans="1:15" ht="15" x14ac:dyDescent="0.25">
      <c r="A89" s="99"/>
      <c r="B89" s="99"/>
      <c r="C89" s="99"/>
      <c r="D89" s="99"/>
      <c r="E89" s="99"/>
      <c r="F89" s="99"/>
      <c r="G89" s="99"/>
      <c r="H89" s="388"/>
      <c r="I89" s="99"/>
      <c r="J89" s="77"/>
      <c r="K89" s="77"/>
      <c r="L89" s="77"/>
      <c r="M89" s="77"/>
      <c r="N89" s="77"/>
      <c r="O89" s="77"/>
    </row>
    <row r="90" spans="1:15" ht="15" x14ac:dyDescent="0.25">
      <c r="A90" s="99"/>
      <c r="B90" s="99"/>
      <c r="C90" s="99"/>
      <c r="D90" s="99"/>
      <c r="E90" s="99"/>
      <c r="F90" s="99"/>
      <c r="G90" s="99"/>
      <c r="H90" s="388"/>
      <c r="I90" s="99"/>
      <c r="J90" s="77"/>
      <c r="K90" s="77"/>
      <c r="L90" s="77"/>
      <c r="M90" s="77"/>
      <c r="N90" s="77"/>
      <c r="O90" s="77"/>
    </row>
    <row r="91" spans="1:15" ht="15" x14ac:dyDescent="0.25">
      <c r="A91" s="99"/>
      <c r="B91" s="99"/>
      <c r="C91" s="99"/>
      <c r="D91" s="99"/>
      <c r="E91" s="99"/>
      <c r="F91" s="99"/>
      <c r="G91" s="99"/>
      <c r="H91" s="388"/>
      <c r="I91" s="99"/>
      <c r="J91" s="77"/>
      <c r="K91" s="77"/>
      <c r="L91" s="77"/>
      <c r="M91" s="77"/>
      <c r="N91" s="77"/>
      <c r="O91" s="77"/>
    </row>
    <row r="92" spans="1:15" ht="15" x14ac:dyDescent="0.25">
      <c r="A92" s="99"/>
      <c r="B92" s="99"/>
      <c r="C92" s="99"/>
      <c r="D92" s="99"/>
      <c r="E92" s="99"/>
      <c r="F92" s="99"/>
      <c r="G92" s="99"/>
      <c r="H92" s="388"/>
      <c r="I92" s="99"/>
      <c r="J92" s="77"/>
      <c r="K92" s="77"/>
      <c r="L92" s="77"/>
      <c r="M92" s="77"/>
      <c r="N92" s="77"/>
      <c r="O92" s="77"/>
    </row>
    <row r="93" spans="1:15" ht="15" x14ac:dyDescent="0.25">
      <c r="A93" s="99"/>
      <c r="B93" s="99"/>
      <c r="C93" s="99"/>
      <c r="D93" s="99"/>
      <c r="E93" s="99"/>
      <c r="F93" s="99"/>
      <c r="G93" s="99"/>
      <c r="H93" s="388"/>
      <c r="I93" s="99"/>
      <c r="J93" s="77"/>
      <c r="K93" s="77"/>
      <c r="L93" s="77"/>
      <c r="M93" s="77"/>
      <c r="N93" s="77"/>
      <c r="O93" s="77"/>
    </row>
    <row r="94" spans="1:15" ht="15" x14ac:dyDescent="0.25">
      <c r="A94" s="99"/>
      <c r="B94" s="99"/>
      <c r="C94" s="99"/>
      <c r="D94" s="99"/>
      <c r="E94" s="99"/>
      <c r="F94" s="99"/>
      <c r="G94" s="99"/>
      <c r="H94" s="388"/>
      <c r="I94" s="99"/>
      <c r="J94" s="77"/>
      <c r="K94" s="77"/>
      <c r="L94" s="77"/>
      <c r="M94" s="77"/>
      <c r="N94" s="77"/>
      <c r="O94" s="77"/>
    </row>
    <row r="95" spans="1:15" ht="15" x14ac:dyDescent="0.25">
      <c r="A95" s="99"/>
      <c r="B95" s="99"/>
      <c r="C95" s="99"/>
      <c r="D95" s="99"/>
      <c r="E95" s="99"/>
      <c r="F95" s="99"/>
      <c r="G95" s="99"/>
      <c r="H95" s="388"/>
      <c r="I95" s="99"/>
      <c r="J95" s="77"/>
      <c r="K95" s="77"/>
      <c r="L95" s="77"/>
      <c r="M95" s="77"/>
      <c r="N95" s="77"/>
      <c r="O95" s="77"/>
    </row>
    <row r="96" spans="1:15" ht="15" x14ac:dyDescent="0.25">
      <c r="A96" s="99"/>
      <c r="B96" s="99"/>
      <c r="C96" s="99"/>
      <c r="D96" s="99"/>
      <c r="E96" s="99"/>
      <c r="F96" s="99"/>
      <c r="G96" s="99"/>
      <c r="H96" s="388"/>
      <c r="I96" s="99"/>
      <c r="J96" s="77"/>
      <c r="K96" s="77"/>
      <c r="L96" s="77"/>
      <c r="M96" s="77"/>
      <c r="N96" s="77"/>
      <c r="O96" s="77"/>
    </row>
    <row r="97" spans="1:15" ht="15" x14ac:dyDescent="0.25">
      <c r="A97" s="99"/>
      <c r="B97" s="99"/>
      <c r="C97" s="99"/>
      <c r="D97" s="99"/>
      <c r="E97" s="99"/>
      <c r="F97" s="99"/>
      <c r="G97" s="99"/>
      <c r="H97" s="388"/>
      <c r="I97" s="99"/>
      <c r="J97" s="77"/>
      <c r="K97" s="77"/>
      <c r="L97" s="77"/>
      <c r="M97" s="77"/>
      <c r="N97" s="77"/>
      <c r="O97" s="77"/>
    </row>
    <row r="98" spans="1:15" ht="15" x14ac:dyDescent="0.25">
      <c r="A98" s="99"/>
      <c r="B98" s="99"/>
      <c r="C98" s="99"/>
      <c r="D98" s="99"/>
      <c r="E98" s="99"/>
      <c r="F98" s="99"/>
      <c r="G98" s="99"/>
      <c r="H98" s="388"/>
      <c r="I98" s="99"/>
      <c r="J98" s="77"/>
      <c r="K98" s="77"/>
      <c r="L98" s="77"/>
      <c r="M98" s="77"/>
      <c r="N98" s="77"/>
      <c r="O98" s="77"/>
    </row>
    <row r="99" spans="1:15" ht="15" x14ac:dyDescent="0.25">
      <c r="A99" s="99"/>
      <c r="B99" s="99"/>
      <c r="C99" s="99"/>
      <c r="D99" s="99"/>
      <c r="E99" s="99"/>
      <c r="F99" s="99"/>
      <c r="G99" s="99"/>
      <c r="H99" s="388"/>
      <c r="I99" s="99"/>
      <c r="J99" s="77"/>
      <c r="K99" s="77"/>
      <c r="L99" s="77"/>
      <c r="M99" s="77"/>
      <c r="N99" s="77"/>
      <c r="O99" s="77"/>
    </row>
    <row r="100" spans="1:15" ht="15.6" thickBot="1" x14ac:dyDescent="0.3">
      <c r="A100" s="99"/>
      <c r="B100" s="99"/>
      <c r="C100" s="99"/>
      <c r="D100" s="99"/>
      <c r="E100" s="99"/>
      <c r="F100" s="99"/>
      <c r="G100" s="99"/>
      <c r="H100" s="388"/>
      <c r="I100" s="99"/>
      <c r="J100" s="77"/>
      <c r="K100" s="77"/>
      <c r="L100" s="77"/>
      <c r="M100" s="77"/>
      <c r="N100" s="77"/>
      <c r="O100" s="77"/>
    </row>
    <row r="101" spans="1:15" ht="15" x14ac:dyDescent="0.25">
      <c r="A101" s="894" t="s">
        <v>195</v>
      </c>
      <c r="B101" s="895"/>
      <c r="C101" s="895"/>
      <c r="D101" s="895"/>
      <c r="E101" s="895"/>
      <c r="F101" s="896"/>
      <c r="G101" s="99"/>
      <c r="H101" s="388"/>
      <c r="I101" s="99"/>
      <c r="J101" s="77"/>
      <c r="K101" s="77"/>
      <c r="L101" s="77"/>
      <c r="M101" s="77"/>
      <c r="N101" s="77"/>
      <c r="O101" s="77"/>
    </row>
    <row r="102" spans="1:15" ht="15.6" thickBot="1" x14ac:dyDescent="0.3">
      <c r="A102" s="897"/>
      <c r="B102" s="898"/>
      <c r="C102" s="898"/>
      <c r="D102" s="898"/>
      <c r="E102" s="898"/>
      <c r="F102" s="899"/>
      <c r="G102" s="99"/>
      <c r="H102" s="388"/>
      <c r="I102" s="99"/>
      <c r="J102" s="77"/>
      <c r="K102" s="77"/>
      <c r="L102" s="77"/>
      <c r="M102" s="77"/>
      <c r="N102" s="77"/>
      <c r="O102" s="77"/>
    </row>
    <row r="103" spans="1:15" ht="15" x14ac:dyDescent="0.25">
      <c r="A103" s="162" t="s">
        <v>5</v>
      </c>
      <c r="B103" s="161" t="s">
        <v>6</v>
      </c>
      <c r="C103" s="161" t="s">
        <v>13</v>
      </c>
      <c r="D103" s="161" t="s">
        <v>82</v>
      </c>
      <c r="E103" s="161" t="s">
        <v>115</v>
      </c>
      <c r="F103" s="163" t="s">
        <v>116</v>
      </c>
      <c r="G103" s="99"/>
      <c r="H103" s="388"/>
      <c r="I103" s="99"/>
      <c r="J103" s="77"/>
      <c r="K103" s="77"/>
      <c r="L103" s="77"/>
      <c r="M103" s="77"/>
      <c r="N103" s="77"/>
      <c r="O103" s="77"/>
    </row>
    <row r="104" spans="1:15" ht="15" x14ac:dyDescent="0.25">
      <c r="A104" s="396" t="s">
        <v>239</v>
      </c>
      <c r="B104" s="106"/>
      <c r="C104" s="106"/>
      <c r="D104" s="106"/>
      <c r="E104" s="106"/>
      <c r="F104" s="107"/>
      <c r="G104" s="99"/>
      <c r="H104" s="388"/>
      <c r="I104" s="99"/>
      <c r="J104" s="77"/>
      <c r="K104" s="77"/>
      <c r="L104" s="77"/>
      <c r="M104" s="77"/>
      <c r="N104" s="77"/>
      <c r="O104" s="77"/>
    </row>
    <row r="105" spans="1:15" ht="30" x14ac:dyDescent="0.25">
      <c r="A105" s="396" t="s">
        <v>91</v>
      </c>
      <c r="B105" s="106" t="s">
        <v>190</v>
      </c>
      <c r="C105" s="106" t="s">
        <v>18</v>
      </c>
      <c r="D105" s="106" t="s">
        <v>8</v>
      </c>
      <c r="E105" s="106" t="s">
        <v>36</v>
      </c>
      <c r="F105" s="107" t="s">
        <v>29</v>
      </c>
      <c r="G105" s="99"/>
      <c r="H105" s="388"/>
      <c r="I105" s="99"/>
      <c r="J105" s="77"/>
      <c r="K105" s="77"/>
      <c r="L105" s="77"/>
      <c r="M105" s="77"/>
      <c r="N105" s="77"/>
      <c r="O105" s="77"/>
    </row>
    <row r="106" spans="1:15" ht="30" x14ac:dyDescent="0.25">
      <c r="A106" s="397" t="s">
        <v>27</v>
      </c>
      <c r="B106" s="106" t="s">
        <v>192</v>
      </c>
      <c r="C106" s="106" t="s">
        <v>15</v>
      </c>
      <c r="D106" s="106" t="s">
        <v>84</v>
      </c>
      <c r="E106" s="106" t="s">
        <v>35</v>
      </c>
      <c r="F106" s="107" t="s">
        <v>28</v>
      </c>
      <c r="G106" s="99"/>
      <c r="H106" s="388"/>
      <c r="I106" s="99"/>
      <c r="J106" s="77"/>
      <c r="K106" s="77"/>
      <c r="L106" s="77"/>
      <c r="M106" s="77"/>
      <c r="N106" s="77"/>
      <c r="O106" s="77"/>
    </row>
    <row r="107" spans="1:15" ht="30" x14ac:dyDescent="0.25">
      <c r="A107" s="397" t="s">
        <v>125</v>
      </c>
      <c r="B107" s="106" t="s">
        <v>191</v>
      </c>
      <c r="C107" s="106" t="s">
        <v>16</v>
      </c>
      <c r="D107" s="106"/>
      <c r="E107" s="106" t="s">
        <v>46</v>
      </c>
      <c r="F107" s="107" t="s">
        <v>34</v>
      </c>
      <c r="G107" s="99"/>
      <c r="H107" s="388"/>
      <c r="I107" s="99"/>
      <c r="J107" s="77"/>
      <c r="K107" s="77"/>
      <c r="L107" s="77"/>
      <c r="M107" s="77"/>
      <c r="N107" s="77"/>
      <c r="O107" s="77"/>
    </row>
    <row r="108" spans="1:15" ht="15" x14ac:dyDescent="0.25">
      <c r="A108" s="396" t="s">
        <v>128</v>
      </c>
      <c r="B108" s="106" t="s">
        <v>193</v>
      </c>
      <c r="C108" s="106" t="s">
        <v>20</v>
      </c>
      <c r="D108" s="106"/>
      <c r="E108" s="106" t="s">
        <v>44</v>
      </c>
      <c r="F108" s="107" t="s">
        <v>142</v>
      </c>
      <c r="G108" s="99"/>
      <c r="H108" s="388"/>
      <c r="I108" s="99"/>
      <c r="J108" s="77"/>
      <c r="K108" s="77"/>
      <c r="L108" s="77"/>
      <c r="M108" s="77"/>
      <c r="N108" s="77"/>
      <c r="O108" s="77"/>
    </row>
    <row r="109" spans="1:15" ht="15" x14ac:dyDescent="0.25">
      <c r="A109" s="397" t="s">
        <v>326</v>
      </c>
      <c r="B109" s="106"/>
      <c r="C109" s="106" t="s">
        <v>19</v>
      </c>
      <c r="D109" s="106"/>
      <c r="E109" s="106" t="s">
        <v>37</v>
      </c>
      <c r="F109" s="107" t="s">
        <v>30</v>
      </c>
      <c r="G109" s="99"/>
      <c r="H109" s="388"/>
      <c r="I109" s="99"/>
      <c r="J109" s="77"/>
      <c r="K109" s="77"/>
      <c r="L109" s="77"/>
      <c r="M109" s="77"/>
      <c r="N109" s="77"/>
      <c r="O109" s="77"/>
    </row>
    <row r="110" spans="1:15" ht="30" x14ac:dyDescent="0.25">
      <c r="A110" s="396" t="s">
        <v>308</v>
      </c>
      <c r="B110" s="106"/>
      <c r="C110" s="106" t="s">
        <v>21</v>
      </c>
      <c r="D110" s="106"/>
      <c r="E110" s="106" t="s">
        <v>117</v>
      </c>
      <c r="F110" s="107" t="s">
        <v>121</v>
      </c>
      <c r="G110" s="99"/>
      <c r="H110" s="388"/>
      <c r="I110" s="99"/>
      <c r="J110" s="77"/>
      <c r="K110" s="77"/>
      <c r="L110" s="77"/>
      <c r="M110" s="77"/>
      <c r="N110" s="77"/>
      <c r="O110" s="77"/>
    </row>
    <row r="111" spans="1:15" ht="30" x14ac:dyDescent="0.25">
      <c r="A111" s="396" t="s">
        <v>309</v>
      </c>
      <c r="B111" s="106"/>
      <c r="C111" s="106" t="s">
        <v>14</v>
      </c>
      <c r="D111" s="106"/>
      <c r="E111" s="106" t="s">
        <v>42</v>
      </c>
      <c r="F111" s="107" t="s">
        <v>40</v>
      </c>
      <c r="G111" s="99"/>
      <c r="H111" s="388"/>
      <c r="I111" s="99"/>
      <c r="J111" s="77"/>
      <c r="K111" s="77"/>
      <c r="L111" s="77"/>
      <c r="M111" s="77"/>
      <c r="N111" s="77"/>
      <c r="O111" s="77"/>
    </row>
    <row r="112" spans="1:15" ht="30" x14ac:dyDescent="0.25">
      <c r="A112" s="396" t="s">
        <v>307</v>
      </c>
      <c r="B112" s="106"/>
      <c r="C112" s="106" t="s">
        <v>17</v>
      </c>
      <c r="D112" s="106"/>
      <c r="E112" s="106" t="s">
        <v>38</v>
      </c>
      <c r="F112" s="107" t="s">
        <v>31</v>
      </c>
      <c r="G112" s="99"/>
      <c r="H112" s="388"/>
      <c r="I112" s="99"/>
      <c r="J112" s="77"/>
      <c r="K112" s="77"/>
      <c r="L112" s="77"/>
      <c r="M112" s="77"/>
      <c r="N112" s="77"/>
      <c r="O112" s="77"/>
    </row>
    <row r="113" spans="1:15" ht="15" x14ac:dyDescent="0.25">
      <c r="A113" s="397" t="s">
        <v>4</v>
      </c>
      <c r="B113" s="106"/>
      <c r="C113" s="106"/>
      <c r="D113" s="106"/>
      <c r="E113" s="106" t="s">
        <v>41</v>
      </c>
      <c r="F113" s="107" t="s">
        <v>39</v>
      </c>
      <c r="G113" s="99"/>
      <c r="H113" s="388"/>
      <c r="I113" s="99"/>
      <c r="J113" s="77"/>
      <c r="K113" s="77"/>
      <c r="L113" s="77"/>
      <c r="M113" s="77"/>
      <c r="N113" s="77"/>
      <c r="O113" s="77"/>
    </row>
    <row r="114" spans="1:15" ht="15" x14ac:dyDescent="0.25">
      <c r="A114" s="397" t="s">
        <v>126</v>
      </c>
      <c r="B114" s="106"/>
      <c r="C114" s="106"/>
      <c r="D114" s="106"/>
      <c r="E114" s="106" t="s">
        <v>43</v>
      </c>
      <c r="F114" s="107" t="s">
        <v>120</v>
      </c>
      <c r="G114" s="99"/>
      <c r="H114" s="388"/>
      <c r="I114" s="99"/>
      <c r="J114" s="77"/>
      <c r="K114" s="77"/>
      <c r="L114" s="77"/>
      <c r="M114" s="77"/>
      <c r="N114" s="77"/>
      <c r="O114" s="77"/>
    </row>
    <row r="115" spans="1:15" x14ac:dyDescent="0.25">
      <c r="A115" s="2" t="s">
        <v>238</v>
      </c>
      <c r="B115" s="2"/>
      <c r="C115" s="2"/>
      <c r="D115" s="2"/>
      <c r="E115" s="2" t="s">
        <v>118</v>
      </c>
      <c r="F115" s="2" t="s">
        <v>122</v>
      </c>
      <c r="G115" s="2"/>
      <c r="H115" s="3"/>
      <c r="I115" s="2"/>
    </row>
    <row r="116" spans="1:15" x14ac:dyDescent="0.25">
      <c r="A116" s="2" t="s">
        <v>183</v>
      </c>
      <c r="B116" s="2"/>
      <c r="C116" s="2"/>
      <c r="D116" s="2"/>
      <c r="E116" s="2" t="s">
        <v>45</v>
      </c>
      <c r="F116" s="2" t="s">
        <v>32</v>
      </c>
      <c r="G116" s="2"/>
      <c r="H116" s="3"/>
      <c r="I116" s="2"/>
    </row>
    <row r="117" spans="1:15" ht="15" x14ac:dyDescent="0.25">
      <c r="A117" s="2"/>
      <c r="B117" s="2"/>
      <c r="C117" s="2"/>
      <c r="D117" s="2"/>
      <c r="E117" s="106" t="s">
        <v>142</v>
      </c>
      <c r="F117" s="2"/>
      <c r="G117" s="2"/>
      <c r="H117" s="3"/>
      <c r="I117" s="2"/>
    </row>
    <row r="118" spans="1:15" x14ac:dyDescent="0.25">
      <c r="A118" s="2"/>
      <c r="B118" s="2"/>
      <c r="C118" s="2"/>
      <c r="D118" s="2"/>
      <c r="E118" s="2"/>
      <c r="F118" s="2"/>
      <c r="G118" s="2"/>
      <c r="H118" s="3"/>
      <c r="I118" s="2"/>
    </row>
    <row r="119" spans="1:15" x14ac:dyDescent="0.25">
      <c r="A119" s="2"/>
      <c r="B119" s="2"/>
      <c r="C119" s="2"/>
      <c r="D119" s="2"/>
      <c r="E119" s="2"/>
      <c r="F119" s="2"/>
      <c r="G119" s="2"/>
      <c r="H119" s="3"/>
      <c r="I119" s="2"/>
    </row>
    <row r="120" spans="1:15" x14ac:dyDescent="0.25">
      <c r="A120" s="2"/>
      <c r="B120" s="2"/>
      <c r="C120" s="2"/>
      <c r="D120" s="2"/>
      <c r="E120" s="2"/>
      <c r="F120" s="2"/>
      <c r="G120" s="2"/>
      <c r="H120" s="3"/>
      <c r="I120" s="2"/>
    </row>
    <row r="121" spans="1:15" x14ac:dyDescent="0.25">
      <c r="A121" s="2"/>
      <c r="B121" s="2"/>
      <c r="C121" s="2"/>
      <c r="D121" s="2"/>
      <c r="E121" s="2"/>
      <c r="F121" s="2"/>
      <c r="G121" s="2"/>
      <c r="H121" s="3"/>
      <c r="I121" s="2"/>
    </row>
    <row r="122" spans="1:15" x14ac:dyDescent="0.25">
      <c r="A122" s="2"/>
      <c r="B122" s="2"/>
      <c r="C122" s="2"/>
      <c r="D122" s="2"/>
      <c r="E122" s="2"/>
      <c r="F122" s="2"/>
      <c r="G122" s="2"/>
      <c r="H122" s="3"/>
      <c r="I122" s="2"/>
    </row>
    <row r="123" spans="1:15" x14ac:dyDescent="0.25">
      <c r="A123" s="2"/>
      <c r="B123" s="2"/>
      <c r="C123" s="2"/>
      <c r="D123" s="2"/>
      <c r="E123" s="2"/>
      <c r="F123" s="2"/>
      <c r="G123" s="2"/>
      <c r="H123" s="3"/>
      <c r="I123" s="2"/>
    </row>
    <row r="124" spans="1:15" x14ac:dyDescent="0.25">
      <c r="A124" s="2"/>
      <c r="B124" s="2"/>
      <c r="C124" s="2"/>
      <c r="D124" s="2"/>
      <c r="E124" s="2"/>
      <c r="F124" s="2"/>
      <c r="G124" s="2"/>
      <c r="H124" s="3"/>
      <c r="I124" s="2"/>
    </row>
    <row r="125" spans="1:15" x14ac:dyDescent="0.25">
      <c r="A125" s="2"/>
      <c r="B125" s="2"/>
      <c r="C125" s="2"/>
      <c r="D125" s="2"/>
      <c r="E125" s="2"/>
      <c r="F125" s="2"/>
      <c r="G125" s="2"/>
      <c r="H125" s="3"/>
      <c r="I125" s="2"/>
    </row>
    <row r="126" spans="1:15" x14ac:dyDescent="0.25">
      <c r="A126" s="2"/>
      <c r="B126" s="2"/>
      <c r="C126" s="2"/>
      <c r="D126" s="2"/>
      <c r="E126" s="2"/>
      <c r="F126" s="2"/>
      <c r="G126" s="2"/>
      <c r="H126" s="3"/>
      <c r="I126" s="2"/>
    </row>
    <row r="127" spans="1:15" x14ac:dyDescent="0.25">
      <c r="A127" s="2"/>
      <c r="B127" s="2"/>
      <c r="C127" s="2"/>
      <c r="D127" s="2"/>
      <c r="E127" s="2"/>
      <c r="F127" s="2"/>
      <c r="G127" s="2"/>
      <c r="H127" s="3"/>
      <c r="I127" s="2"/>
    </row>
    <row r="128" spans="1:15" x14ac:dyDescent="0.25">
      <c r="A128" s="2"/>
      <c r="B128" s="2"/>
      <c r="C128" s="2"/>
      <c r="D128" s="2"/>
      <c r="E128" s="2"/>
      <c r="F128" s="2"/>
      <c r="G128" s="2"/>
      <c r="H128" s="3"/>
      <c r="I128" s="2"/>
    </row>
    <row r="129" spans="1:9" x14ac:dyDescent="0.25">
      <c r="A129" s="2"/>
      <c r="B129" s="2"/>
      <c r="C129" s="2"/>
      <c r="D129" s="2"/>
      <c r="E129" s="2"/>
      <c r="F129" s="2"/>
      <c r="G129" s="2"/>
      <c r="H129" s="3"/>
      <c r="I129" s="2"/>
    </row>
  </sheetData>
  <sheetProtection selectLockedCells="1"/>
  <mergeCells count="7">
    <mergeCell ref="A101:F102"/>
    <mergeCell ref="A1:O1"/>
    <mergeCell ref="A3:O3"/>
    <mergeCell ref="A11:O11"/>
    <mergeCell ref="A35:O35"/>
    <mergeCell ref="A47:O47"/>
    <mergeCell ref="A48:F48"/>
  </mergeCells>
  <dataValidations count="8">
    <dataValidation type="list" allowBlank="1" showInputMessage="1" showErrorMessage="1" sqref="F14:F17 F21:F24" xr:uid="{00000000-0002-0000-0C00-000000000000}">
      <formula1>$E$108:$E$124</formula1>
    </dataValidation>
    <dataValidation type="list" allowBlank="1" showInputMessage="1" showErrorMessage="1" sqref="E40 C39:D46" xr:uid="{00000000-0002-0000-0C00-000001000000}">
      <formula1>#REF!</formula1>
    </dataValidation>
    <dataValidation type="list" allowBlank="1" showInputMessage="1" showErrorMessage="1" sqref="C22:D31 C14:D18 C37:D37 C5:D10" xr:uid="{00000000-0002-0000-0C00-000002000000}">
      <formula1>$A$110:$A$122</formula1>
    </dataValidation>
    <dataValidation type="list" allowBlank="1" showInputMessage="1" showErrorMessage="1" sqref="E5:E10 E22:E31 E37 E14:E18" xr:uid="{00000000-0002-0000-0C00-000003000000}">
      <formula1>$F$110:$F$124</formula1>
    </dataValidation>
    <dataValidation type="list" allowBlank="1" showInputMessage="1" showErrorMessage="1" sqref="B5:B10 B22:B31 B14:B18 B37" xr:uid="{00000000-0002-0000-0C00-000004000000}">
      <formula1>$B$110:$B$114</formula1>
    </dataValidation>
    <dataValidation type="list" allowBlank="1" showInputMessage="1" showErrorMessage="1" sqref="A5:A10 A37 A14:A18 A22:A31" xr:uid="{00000000-0002-0000-0C00-000005000000}">
      <formula1>$D$110:$D$112</formula1>
    </dataValidation>
    <dataValidation type="list" allowBlank="1" showInputMessage="1" showErrorMessage="1" sqref="G5:G10 G14:G18 G37 G22:G31" xr:uid="{00000000-0002-0000-0C00-000006000000}">
      <formula1>$C$110:$C$118</formula1>
    </dataValidation>
    <dataValidation type="list" allowBlank="1" showInputMessage="1" showErrorMessage="1" sqref="F18 F5:F10 F37 F25:F31" xr:uid="{00000000-0002-0000-0C00-000007000000}">
      <formula1>$E$110:$E$124</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dimension ref="A1:EA129"/>
  <sheetViews>
    <sheetView topLeftCell="D1" zoomScale="70" zoomScaleNormal="70" workbookViewId="0">
      <selection activeCell="K6" sqref="K6"/>
    </sheetView>
  </sheetViews>
  <sheetFormatPr defaultColWidth="8.77734375" defaultRowHeight="13.2" x14ac:dyDescent="0.25"/>
  <cols>
    <col min="1" max="15" width="26.44140625" customWidth="1"/>
  </cols>
  <sheetData>
    <row r="1" spans="1:131" ht="18" thickBot="1" x14ac:dyDescent="0.3">
      <c r="A1" s="900" t="s">
        <v>310</v>
      </c>
      <c r="B1" s="900"/>
      <c r="C1" s="900"/>
      <c r="D1" s="900"/>
      <c r="E1" s="900"/>
      <c r="F1" s="900"/>
      <c r="G1" s="900"/>
      <c r="H1" s="900"/>
      <c r="I1" s="900"/>
      <c r="J1" s="900"/>
      <c r="K1" s="900"/>
      <c r="L1" s="900"/>
      <c r="M1" s="900"/>
      <c r="N1" s="900"/>
      <c r="O1" s="900"/>
    </row>
    <row r="2" spans="1:131" ht="17.399999999999999" x14ac:dyDescent="0.25">
      <c r="A2" s="550" t="s">
        <v>188</v>
      </c>
      <c r="B2" s="175"/>
      <c r="C2" s="550"/>
      <c r="D2" s="550"/>
      <c r="E2" s="550"/>
      <c r="F2" s="550"/>
      <c r="G2" s="550"/>
      <c r="H2" s="381"/>
      <c r="I2" s="550"/>
      <c r="J2" s="399"/>
      <c r="K2" s="399"/>
      <c r="L2" s="399"/>
      <c r="M2" s="399"/>
      <c r="N2" s="399"/>
      <c r="O2" s="399"/>
    </row>
    <row r="3" spans="1:131" ht="15" x14ac:dyDescent="0.25">
      <c r="A3" s="901" t="s">
        <v>204</v>
      </c>
      <c r="B3" s="902"/>
      <c r="C3" s="902"/>
      <c r="D3" s="902"/>
      <c r="E3" s="902"/>
      <c r="F3" s="902"/>
      <c r="G3" s="902"/>
      <c r="H3" s="902"/>
      <c r="I3" s="902"/>
      <c r="J3" s="902"/>
      <c r="K3" s="902"/>
      <c r="L3" s="902"/>
      <c r="M3" s="902"/>
      <c r="N3" s="902"/>
      <c r="O3" s="903"/>
    </row>
    <row r="4" spans="1:131" ht="60" x14ac:dyDescent="0.25">
      <c r="A4" s="176" t="s">
        <v>89</v>
      </c>
      <c r="B4" s="176" t="s">
        <v>90</v>
      </c>
      <c r="C4" s="177" t="s">
        <v>0</v>
      </c>
      <c r="D4" s="177" t="s">
        <v>124</v>
      </c>
      <c r="E4" s="176" t="s">
        <v>143</v>
      </c>
      <c r="F4" s="176" t="s">
        <v>144</v>
      </c>
      <c r="G4" s="176" t="s">
        <v>13</v>
      </c>
      <c r="H4" s="382" t="s">
        <v>88</v>
      </c>
      <c r="I4" s="176" t="s">
        <v>12</v>
      </c>
      <c r="J4" s="400" t="s">
        <v>158</v>
      </c>
      <c r="K4" s="400" t="s">
        <v>148</v>
      </c>
      <c r="L4" s="400" t="s">
        <v>180</v>
      </c>
      <c r="M4" s="400" t="s">
        <v>104</v>
      </c>
      <c r="N4" s="400" t="s">
        <v>179</v>
      </c>
      <c r="O4" s="400" t="s">
        <v>205</v>
      </c>
    </row>
    <row r="5" spans="1:131" ht="30" x14ac:dyDescent="0.25">
      <c r="A5" s="482" t="s">
        <v>84</v>
      </c>
      <c r="B5" s="482" t="s">
        <v>3</v>
      </c>
      <c r="C5" s="482" t="s">
        <v>307</v>
      </c>
      <c r="D5" s="482" t="s">
        <v>307</v>
      </c>
      <c r="E5" s="327" t="s">
        <v>120</v>
      </c>
      <c r="F5" s="457" t="s">
        <v>45</v>
      </c>
      <c r="G5" s="482" t="s">
        <v>14</v>
      </c>
      <c r="H5" s="483">
        <v>44423</v>
      </c>
      <c r="I5" s="482" t="s">
        <v>23</v>
      </c>
      <c r="J5" s="350">
        <v>143.66999999999999</v>
      </c>
      <c r="K5" s="350">
        <f>'Dec13'!K5</f>
        <v>110.75</v>
      </c>
      <c r="L5" s="496">
        <f t="shared" ref="L5:L8" si="0">N5-M5</f>
        <v>12.236185809999998</v>
      </c>
      <c r="M5" s="350">
        <f t="shared" ref="M5:N8" si="1">-DZ5/1000000</f>
        <v>1.89200656</v>
      </c>
      <c r="N5" s="350">
        <f t="shared" si="1"/>
        <v>14.128192369999999</v>
      </c>
      <c r="O5" s="88"/>
      <c r="DZ5">
        <v>-1892006.56</v>
      </c>
      <c r="EA5">
        <v>-14128192.369999999</v>
      </c>
    </row>
    <row r="6" spans="1:131" ht="30" x14ac:dyDescent="0.25">
      <c r="A6" s="485" t="s">
        <v>84</v>
      </c>
      <c r="B6" s="485" t="s">
        <v>3</v>
      </c>
      <c r="C6" s="485" t="s">
        <v>307</v>
      </c>
      <c r="D6" s="485" t="s">
        <v>307</v>
      </c>
      <c r="E6" s="329" t="s">
        <v>120</v>
      </c>
      <c r="F6" s="457" t="s">
        <v>45</v>
      </c>
      <c r="G6" s="485" t="s">
        <v>14</v>
      </c>
      <c r="H6" s="93">
        <v>44576</v>
      </c>
      <c r="I6" s="485" t="s">
        <v>24</v>
      </c>
      <c r="J6" s="351">
        <v>27.4</v>
      </c>
      <c r="K6" s="351">
        <v>23.6</v>
      </c>
      <c r="L6" s="497">
        <f t="shared" si="0"/>
        <v>3.1853827899999998</v>
      </c>
      <c r="M6" s="351">
        <f t="shared" si="1"/>
        <v>8.2768549999999996E-2</v>
      </c>
      <c r="N6" s="351">
        <f t="shared" si="1"/>
        <v>3.2681513399999997</v>
      </c>
      <c r="O6" s="96"/>
      <c r="DZ6">
        <v>-82768.55</v>
      </c>
      <c r="EA6">
        <v>-3268151.34</v>
      </c>
    </row>
    <row r="7" spans="1:131" ht="30" x14ac:dyDescent="0.25">
      <c r="A7" s="482" t="s">
        <v>84</v>
      </c>
      <c r="B7" s="482" t="s">
        <v>3</v>
      </c>
      <c r="C7" s="482" t="s">
        <v>308</v>
      </c>
      <c r="D7" s="482" t="s">
        <v>308</v>
      </c>
      <c r="E7" s="327" t="s">
        <v>39</v>
      </c>
      <c r="F7" s="457" t="s">
        <v>38</v>
      </c>
      <c r="G7" s="482" t="s">
        <v>14</v>
      </c>
      <c r="H7" s="483">
        <v>44576</v>
      </c>
      <c r="I7" s="482" t="s">
        <v>24</v>
      </c>
      <c r="J7" s="350">
        <v>26.85</v>
      </c>
      <c r="K7" s="350">
        <v>23.18</v>
      </c>
      <c r="L7" s="496">
        <f t="shared" si="0"/>
        <v>3.1221315700000001</v>
      </c>
      <c r="M7" s="350">
        <f t="shared" si="1"/>
        <v>8.1310560000000004E-2</v>
      </c>
      <c r="N7" s="350">
        <f t="shared" si="1"/>
        <v>3.20344213</v>
      </c>
      <c r="O7" s="88"/>
      <c r="DZ7">
        <v>-81310.559999999998</v>
      </c>
      <c r="EA7">
        <v>-3203442.13</v>
      </c>
    </row>
    <row r="8" spans="1:131" ht="30" x14ac:dyDescent="0.25">
      <c r="A8" s="485" t="s">
        <v>84</v>
      </c>
      <c r="B8" s="485" t="s">
        <v>3</v>
      </c>
      <c r="C8" s="485" t="s">
        <v>309</v>
      </c>
      <c r="D8" s="485" t="s">
        <v>125</v>
      </c>
      <c r="E8" s="329" t="s">
        <v>40</v>
      </c>
      <c r="F8" s="458" t="s">
        <v>42</v>
      </c>
      <c r="G8" s="485" t="s">
        <v>14</v>
      </c>
      <c r="H8" s="93">
        <v>46296</v>
      </c>
      <c r="I8" s="485" t="s">
        <v>25</v>
      </c>
      <c r="J8" s="351">
        <v>40.880000000000003</v>
      </c>
      <c r="K8" s="351">
        <f>'Dec13'!K8</f>
        <v>35.590000000000003</v>
      </c>
      <c r="L8" s="497">
        <f t="shared" si="0"/>
        <v>4.4827113599999997</v>
      </c>
      <c r="M8" s="351">
        <f t="shared" si="1"/>
        <v>5.7609190000000005E-2</v>
      </c>
      <c r="N8" s="351">
        <f t="shared" si="1"/>
        <v>4.5403205499999997</v>
      </c>
      <c r="O8" s="96"/>
      <c r="DZ8">
        <v>-57609.19</v>
      </c>
      <c r="EA8">
        <v>-4540320.55</v>
      </c>
    </row>
    <row r="9" spans="1:131" ht="15" x14ac:dyDescent="0.25">
      <c r="A9" s="111"/>
      <c r="B9" s="111"/>
      <c r="C9" s="111"/>
      <c r="D9" s="111"/>
      <c r="E9" s="123"/>
      <c r="F9" s="111"/>
      <c r="G9" s="111"/>
      <c r="H9" s="114"/>
      <c r="I9" s="111"/>
      <c r="J9" s="352"/>
      <c r="K9" s="352"/>
      <c r="L9" s="352"/>
      <c r="M9" s="352"/>
      <c r="N9" s="353"/>
      <c r="O9" s="353"/>
    </row>
    <row r="10" spans="1:131" ht="15" x14ac:dyDescent="0.25">
      <c r="A10" s="485"/>
      <c r="B10" s="485"/>
      <c r="C10" s="485"/>
      <c r="D10" s="485"/>
      <c r="E10" s="329"/>
      <c r="F10" s="485"/>
      <c r="G10" s="485"/>
      <c r="H10" s="93"/>
      <c r="I10" s="485"/>
      <c r="J10" s="351"/>
      <c r="K10" s="351"/>
      <c r="L10" s="351"/>
      <c r="M10" s="351"/>
      <c r="N10" s="96"/>
      <c r="O10" s="96"/>
    </row>
    <row r="11" spans="1:131" ht="15" x14ac:dyDescent="0.25">
      <c r="A11" s="901" t="s">
        <v>203</v>
      </c>
      <c r="B11" s="902"/>
      <c r="C11" s="902"/>
      <c r="D11" s="902"/>
      <c r="E11" s="902"/>
      <c r="F11" s="902"/>
      <c r="G11" s="902"/>
      <c r="H11" s="902"/>
      <c r="I11" s="902"/>
      <c r="J11" s="902"/>
      <c r="K11" s="902"/>
      <c r="L11" s="902"/>
      <c r="M11" s="902"/>
      <c r="N11" s="902"/>
      <c r="O11" s="903"/>
    </row>
    <row r="12" spans="1:131" ht="60" x14ac:dyDescent="0.25">
      <c r="A12" s="176" t="s">
        <v>89</v>
      </c>
      <c r="B12" s="176" t="s">
        <v>90</v>
      </c>
      <c r="C12" s="177" t="s">
        <v>0</v>
      </c>
      <c r="D12" s="180" t="s">
        <v>124</v>
      </c>
      <c r="E12" s="176" t="s">
        <v>143</v>
      </c>
      <c r="F12" s="176" t="s">
        <v>144</v>
      </c>
      <c r="G12" s="176" t="s">
        <v>13</v>
      </c>
      <c r="H12" s="382" t="s">
        <v>88</v>
      </c>
      <c r="I12" s="176" t="s">
        <v>12</v>
      </c>
      <c r="J12" s="400" t="s">
        <v>150</v>
      </c>
      <c r="K12" s="400" t="s">
        <v>151</v>
      </c>
      <c r="L12" s="400" t="s">
        <v>157</v>
      </c>
      <c r="M12" s="400" t="s">
        <v>149</v>
      </c>
      <c r="N12" s="400" t="s">
        <v>179</v>
      </c>
      <c r="O12" s="400" t="s">
        <v>205</v>
      </c>
    </row>
    <row r="13" spans="1:131" ht="15" x14ac:dyDescent="0.25">
      <c r="A13" s="184" t="s">
        <v>197</v>
      </c>
      <c r="B13" s="184"/>
      <c r="C13" s="185"/>
      <c r="D13" s="185"/>
      <c r="E13" s="184"/>
      <c r="F13" s="184"/>
      <c r="G13" s="184"/>
      <c r="H13" s="383"/>
      <c r="I13" s="184"/>
      <c r="J13" s="403"/>
      <c r="K13" s="403"/>
      <c r="L13" s="403"/>
      <c r="M13" s="403"/>
      <c r="N13" s="403"/>
      <c r="O13" s="404"/>
    </row>
    <row r="14" spans="1:131" ht="30" x14ac:dyDescent="0.25">
      <c r="A14" s="482" t="s">
        <v>8</v>
      </c>
      <c r="B14" s="541" t="s">
        <v>7</v>
      </c>
      <c r="C14" s="482" t="s">
        <v>239</v>
      </c>
      <c r="D14" s="482" t="s">
        <v>238</v>
      </c>
      <c r="E14" s="327" t="s">
        <v>32</v>
      </c>
      <c r="F14" s="485" t="s">
        <v>44</v>
      </c>
      <c r="G14" s="482" t="s">
        <v>22</v>
      </c>
      <c r="H14" s="483">
        <v>41820</v>
      </c>
      <c r="I14" s="482" t="s">
        <v>132</v>
      </c>
      <c r="J14" s="88">
        <v>19.28</v>
      </c>
      <c r="K14" s="88">
        <v>-11.6</v>
      </c>
      <c r="L14" s="488">
        <v>7.6800000000000015</v>
      </c>
      <c r="M14" s="88"/>
      <c r="N14" s="88"/>
      <c r="O14" s="88"/>
    </row>
    <row r="15" spans="1:131" ht="30" x14ac:dyDescent="0.25">
      <c r="A15" s="485" t="s">
        <v>8</v>
      </c>
      <c r="B15" s="485" t="s">
        <v>193</v>
      </c>
      <c r="C15" s="485" t="s">
        <v>239</v>
      </c>
      <c r="D15" s="485" t="s">
        <v>238</v>
      </c>
      <c r="E15" s="485" t="s">
        <v>32</v>
      </c>
      <c r="F15" s="485" t="s">
        <v>44</v>
      </c>
      <c r="G15" s="485" t="s">
        <v>22</v>
      </c>
      <c r="H15" s="385">
        <v>42185</v>
      </c>
      <c r="I15" s="485" t="s">
        <v>133</v>
      </c>
      <c r="J15" s="379">
        <v>13.19</v>
      </c>
      <c r="K15" s="379">
        <v>0</v>
      </c>
      <c r="L15" s="489">
        <v>13.19</v>
      </c>
      <c r="M15" s="379"/>
      <c r="N15" s="379"/>
      <c r="O15" s="379"/>
    </row>
    <row r="16" spans="1:131" ht="30" x14ac:dyDescent="0.25">
      <c r="A16" s="482" t="s">
        <v>8</v>
      </c>
      <c r="B16" s="482" t="s">
        <v>193</v>
      </c>
      <c r="C16" s="482" t="s">
        <v>239</v>
      </c>
      <c r="D16" s="482" t="s">
        <v>238</v>
      </c>
      <c r="E16" s="482" t="s">
        <v>32</v>
      </c>
      <c r="F16" s="485" t="s">
        <v>44</v>
      </c>
      <c r="G16" s="482" t="s">
        <v>22</v>
      </c>
      <c r="H16" s="386">
        <v>42551</v>
      </c>
      <c r="I16" s="482" t="s">
        <v>300</v>
      </c>
      <c r="J16" s="380">
        <v>1.0900000000000001</v>
      </c>
      <c r="K16" s="380">
        <v>0</v>
      </c>
      <c r="L16" s="488">
        <v>1.0900000000000001</v>
      </c>
      <c r="M16" s="380"/>
      <c r="N16" s="380"/>
      <c r="O16" s="380"/>
    </row>
    <row r="17" spans="1:15" ht="30" x14ac:dyDescent="0.25">
      <c r="A17" s="485" t="s">
        <v>8</v>
      </c>
      <c r="B17" s="485" t="s">
        <v>193</v>
      </c>
      <c r="C17" s="485" t="s">
        <v>239</v>
      </c>
      <c r="D17" s="485" t="s">
        <v>238</v>
      </c>
      <c r="E17" s="485" t="s">
        <v>32</v>
      </c>
      <c r="F17" s="485" t="s">
        <v>44</v>
      </c>
      <c r="G17" s="485" t="s">
        <v>22</v>
      </c>
      <c r="H17" s="385">
        <v>42916</v>
      </c>
      <c r="I17" s="485" t="s">
        <v>345</v>
      </c>
      <c r="J17" s="379">
        <v>0</v>
      </c>
      <c r="K17" s="379">
        <v>0</v>
      </c>
      <c r="L17" s="490">
        <v>0</v>
      </c>
      <c r="M17" s="379"/>
      <c r="N17" s="379"/>
      <c r="O17" s="379"/>
    </row>
    <row r="18" spans="1:15" ht="15" x14ac:dyDescent="0.25">
      <c r="A18" s="181"/>
      <c r="B18" s="181"/>
      <c r="C18" s="181"/>
      <c r="D18" s="181"/>
      <c r="E18" s="182"/>
      <c r="F18" s="181"/>
      <c r="G18" s="181"/>
      <c r="H18" s="183" t="s">
        <v>206</v>
      </c>
      <c r="I18" s="181"/>
      <c r="J18" s="354">
        <v>33.56</v>
      </c>
      <c r="K18" s="354">
        <v>-11.6</v>
      </c>
      <c r="L18" s="354">
        <v>21.96</v>
      </c>
      <c r="M18" s="354">
        <v>23.773854</v>
      </c>
      <c r="N18" s="354">
        <v>1.8138540000000001</v>
      </c>
      <c r="O18" s="354">
        <v>35</v>
      </c>
    </row>
    <row r="19" spans="1:15" ht="15" x14ac:dyDescent="0.25">
      <c r="A19" s="181" t="s">
        <v>295</v>
      </c>
      <c r="B19" s="181"/>
      <c r="C19" s="181"/>
      <c r="D19" s="181"/>
      <c r="E19" s="182"/>
      <c r="F19" s="181"/>
      <c r="G19" s="181"/>
      <c r="H19" s="183"/>
      <c r="I19" s="181"/>
      <c r="J19" s="354"/>
      <c r="K19" s="354"/>
      <c r="L19" s="354"/>
      <c r="M19" s="354"/>
      <c r="N19" s="354"/>
      <c r="O19" s="354"/>
    </row>
    <row r="20" spans="1:15" ht="15" x14ac:dyDescent="0.25">
      <c r="A20" s="184" t="s">
        <v>327</v>
      </c>
      <c r="B20" s="184"/>
      <c r="C20" s="185"/>
      <c r="D20" s="185"/>
      <c r="E20" s="184"/>
      <c r="F20" s="184"/>
      <c r="G20" s="184"/>
      <c r="H20" s="383"/>
      <c r="I20" s="184"/>
      <c r="J20" s="459"/>
      <c r="K20" s="459"/>
      <c r="L20" s="459"/>
      <c r="M20" s="459"/>
      <c r="N20" s="459"/>
      <c r="O20" s="186"/>
    </row>
    <row r="21" spans="1:15" ht="30" x14ac:dyDescent="0.25">
      <c r="A21" s="482" t="s">
        <v>8</v>
      </c>
      <c r="B21" s="482" t="s">
        <v>7</v>
      </c>
      <c r="C21" s="482" t="s">
        <v>27</v>
      </c>
      <c r="D21" s="482" t="s">
        <v>127</v>
      </c>
      <c r="E21" s="327" t="s">
        <v>33</v>
      </c>
      <c r="F21" s="485" t="s">
        <v>44</v>
      </c>
      <c r="G21" s="482" t="s">
        <v>22</v>
      </c>
      <c r="H21" s="483">
        <v>41820</v>
      </c>
      <c r="I21" s="482" t="s">
        <v>138</v>
      </c>
      <c r="J21" s="88">
        <v>0.92112859999999996</v>
      </c>
      <c r="K21" s="88">
        <v>-0.92112859999999996</v>
      </c>
      <c r="L21" s="488">
        <v>0</v>
      </c>
      <c r="M21" s="486"/>
      <c r="N21" s="486"/>
      <c r="O21" s="486"/>
    </row>
    <row r="22" spans="1:15" ht="30" x14ac:dyDescent="0.25">
      <c r="A22" s="482" t="s">
        <v>8</v>
      </c>
      <c r="B22" s="485" t="s">
        <v>7</v>
      </c>
      <c r="C22" s="485" t="s">
        <v>27</v>
      </c>
      <c r="D22" s="485" t="s">
        <v>127</v>
      </c>
      <c r="E22" s="485" t="s">
        <v>33</v>
      </c>
      <c r="F22" s="485" t="s">
        <v>44</v>
      </c>
      <c r="G22" s="485" t="s">
        <v>22</v>
      </c>
      <c r="H22" s="385">
        <v>42185</v>
      </c>
      <c r="I22" s="485" t="s">
        <v>139</v>
      </c>
      <c r="J22" s="379"/>
      <c r="K22" s="379"/>
      <c r="L22" s="489">
        <v>0</v>
      </c>
      <c r="M22" s="484"/>
      <c r="N22" s="484"/>
      <c r="O22" s="484"/>
    </row>
    <row r="23" spans="1:15" ht="30" x14ac:dyDescent="0.25">
      <c r="A23" s="482" t="s">
        <v>8</v>
      </c>
      <c r="B23" s="482" t="s">
        <v>7</v>
      </c>
      <c r="C23" s="482" t="s">
        <v>27</v>
      </c>
      <c r="D23" s="482" t="s">
        <v>127</v>
      </c>
      <c r="E23" s="482" t="s">
        <v>33</v>
      </c>
      <c r="F23" s="485" t="s">
        <v>44</v>
      </c>
      <c r="G23" s="482" t="s">
        <v>22</v>
      </c>
      <c r="H23" s="386">
        <v>42551</v>
      </c>
      <c r="I23" s="482" t="s">
        <v>301</v>
      </c>
      <c r="J23" s="380"/>
      <c r="K23" s="380"/>
      <c r="L23" s="488">
        <v>0</v>
      </c>
      <c r="M23" s="487"/>
      <c r="N23" s="487"/>
      <c r="O23" s="487"/>
    </row>
    <row r="24" spans="1:15" ht="30" x14ac:dyDescent="0.25">
      <c r="A24" s="482" t="s">
        <v>8</v>
      </c>
      <c r="B24" s="485" t="s">
        <v>7</v>
      </c>
      <c r="C24" s="485" t="s">
        <v>27</v>
      </c>
      <c r="D24" s="485" t="s">
        <v>127</v>
      </c>
      <c r="E24" s="485" t="s">
        <v>33</v>
      </c>
      <c r="F24" s="485" t="s">
        <v>44</v>
      </c>
      <c r="G24" s="485" t="s">
        <v>22</v>
      </c>
      <c r="H24" s="385">
        <v>42916</v>
      </c>
      <c r="I24" s="485" t="s">
        <v>346</v>
      </c>
      <c r="J24" s="379"/>
      <c r="K24" s="379"/>
      <c r="L24" s="490">
        <v>0</v>
      </c>
      <c r="M24" s="484"/>
      <c r="N24" s="484"/>
      <c r="O24" s="484"/>
    </row>
    <row r="25" spans="1:15" ht="15" x14ac:dyDescent="0.25">
      <c r="A25" s="181" t="s">
        <v>324</v>
      </c>
      <c r="B25" s="181"/>
      <c r="C25" s="181"/>
      <c r="D25" s="181"/>
      <c r="E25" s="182"/>
      <c r="F25" s="181"/>
      <c r="G25" s="181"/>
      <c r="H25" s="183" t="s">
        <v>206</v>
      </c>
      <c r="I25" s="181"/>
      <c r="J25" s="354">
        <v>0.92112859999999996</v>
      </c>
      <c r="K25" s="354">
        <v>-0.92112859999999996</v>
      </c>
      <c r="L25" s="354">
        <v>0</v>
      </c>
      <c r="M25" s="354">
        <v>1.7952399999999875E-4</v>
      </c>
      <c r="N25" s="354">
        <v>-1.7952399999999875E-4</v>
      </c>
      <c r="O25" s="354"/>
    </row>
    <row r="26" spans="1:15" ht="15" x14ac:dyDescent="0.25">
      <c r="A26" s="181"/>
      <c r="B26" s="181"/>
      <c r="C26" s="181"/>
      <c r="D26" s="181"/>
      <c r="E26" s="182"/>
      <c r="F26" s="181"/>
      <c r="G26" s="181"/>
      <c r="H26" s="183"/>
      <c r="I26" s="181"/>
      <c r="J26" s="354"/>
      <c r="K26" s="354"/>
      <c r="L26" s="354"/>
      <c r="M26" s="354"/>
      <c r="N26" s="354"/>
      <c r="O26" s="354"/>
    </row>
    <row r="27" spans="1:15" ht="15" x14ac:dyDescent="0.25">
      <c r="A27" s="184" t="s">
        <v>328</v>
      </c>
      <c r="B27" s="184"/>
      <c r="C27" s="185"/>
      <c r="D27" s="185"/>
      <c r="E27" s="184"/>
      <c r="F27" s="184"/>
      <c r="G27" s="184"/>
      <c r="H27" s="383"/>
      <c r="I27" s="184"/>
      <c r="J27" s="459"/>
      <c r="K27" s="459"/>
      <c r="L27" s="459"/>
      <c r="M27" s="459"/>
      <c r="N27" s="459"/>
      <c r="O27" s="186"/>
    </row>
    <row r="28" spans="1:15" ht="30" x14ac:dyDescent="0.25">
      <c r="A28" s="482" t="s">
        <v>8</v>
      </c>
      <c r="B28" s="482" t="s">
        <v>7</v>
      </c>
      <c r="C28" s="482" t="s">
        <v>92</v>
      </c>
      <c r="D28" s="482" t="s">
        <v>128</v>
      </c>
      <c r="E28" s="327" t="s">
        <v>33</v>
      </c>
      <c r="F28" s="327" t="s">
        <v>45</v>
      </c>
      <c r="G28" s="482" t="s">
        <v>22</v>
      </c>
      <c r="H28" s="483">
        <v>41820</v>
      </c>
      <c r="I28" s="482" t="s">
        <v>138</v>
      </c>
      <c r="J28" s="88">
        <v>3.32167952</v>
      </c>
      <c r="K28" s="88">
        <v>-1.8032091200000002</v>
      </c>
      <c r="L28" s="488">
        <v>1.5184703999999998</v>
      </c>
      <c r="M28" s="379"/>
      <c r="N28" s="379"/>
      <c r="O28" s="379"/>
    </row>
    <row r="29" spans="1:15" ht="30" x14ac:dyDescent="0.25">
      <c r="A29" s="485" t="s">
        <v>8</v>
      </c>
      <c r="B29" s="485" t="s">
        <v>7</v>
      </c>
      <c r="C29" s="485" t="s">
        <v>92</v>
      </c>
      <c r="D29" s="485" t="s">
        <v>128</v>
      </c>
      <c r="E29" s="485" t="s">
        <v>33</v>
      </c>
      <c r="F29" s="485" t="s">
        <v>45</v>
      </c>
      <c r="G29" s="485" t="s">
        <v>22</v>
      </c>
      <c r="H29" s="385">
        <v>42185</v>
      </c>
      <c r="I29" s="485" t="s">
        <v>139</v>
      </c>
      <c r="J29" s="379">
        <v>1.5495680000000001</v>
      </c>
      <c r="K29" s="379">
        <v>0</v>
      </c>
      <c r="L29" s="489">
        <v>1.5495680000000001</v>
      </c>
      <c r="M29" s="380"/>
      <c r="N29" s="380"/>
      <c r="O29" s="380"/>
    </row>
    <row r="30" spans="1:15" ht="30" x14ac:dyDescent="0.25">
      <c r="A30" s="482" t="s">
        <v>8</v>
      </c>
      <c r="B30" s="482" t="s">
        <v>7</v>
      </c>
      <c r="C30" s="482" t="s">
        <v>92</v>
      </c>
      <c r="D30" s="482" t="s">
        <v>128</v>
      </c>
      <c r="E30" s="482" t="s">
        <v>33</v>
      </c>
      <c r="F30" s="482" t="s">
        <v>45</v>
      </c>
      <c r="G30" s="482" t="s">
        <v>22</v>
      </c>
      <c r="H30" s="386">
        <v>42551</v>
      </c>
      <c r="I30" s="482" t="s">
        <v>301</v>
      </c>
      <c r="J30" s="380">
        <v>0.72236800000000001</v>
      </c>
      <c r="K30" s="380">
        <v>0</v>
      </c>
      <c r="L30" s="488">
        <v>0.72236800000000001</v>
      </c>
      <c r="M30" s="379"/>
      <c r="N30" s="379"/>
      <c r="O30" s="379"/>
    </row>
    <row r="31" spans="1:15" ht="30" x14ac:dyDescent="0.25">
      <c r="A31" s="485" t="s">
        <v>8</v>
      </c>
      <c r="B31" s="485" t="s">
        <v>7</v>
      </c>
      <c r="C31" s="485" t="s">
        <v>92</v>
      </c>
      <c r="D31" s="485" t="s">
        <v>128</v>
      </c>
      <c r="E31" s="485" t="s">
        <v>33</v>
      </c>
      <c r="F31" s="485" t="s">
        <v>45</v>
      </c>
      <c r="G31" s="485" t="s">
        <v>22</v>
      </c>
      <c r="H31" s="385">
        <v>42916</v>
      </c>
      <c r="I31" s="485" t="s">
        <v>346</v>
      </c>
      <c r="J31" s="379">
        <v>0</v>
      </c>
      <c r="K31" s="379">
        <v>0</v>
      </c>
      <c r="L31" s="490">
        <v>0</v>
      </c>
      <c r="M31" s="380"/>
      <c r="N31" s="380"/>
      <c r="O31" s="380"/>
    </row>
    <row r="32" spans="1:15" ht="15" x14ac:dyDescent="0.25">
      <c r="A32" s="181" t="s">
        <v>325</v>
      </c>
      <c r="B32" s="181"/>
      <c r="C32" s="181"/>
      <c r="D32" s="181"/>
      <c r="E32" s="182"/>
      <c r="F32" s="181"/>
      <c r="G32" s="181"/>
      <c r="H32" s="183" t="s">
        <v>206</v>
      </c>
      <c r="I32" s="181"/>
      <c r="J32" s="354">
        <v>5.5936155200000002</v>
      </c>
      <c r="K32" s="354">
        <v>-1.8032091200000002</v>
      </c>
      <c r="L32" s="354">
        <v>3.7904063999999997</v>
      </c>
      <c r="M32" s="354">
        <v>4.1561459999999997</v>
      </c>
      <c r="N32" s="354">
        <v>-0.36573960000000005</v>
      </c>
      <c r="O32" s="354"/>
    </row>
    <row r="33" spans="1:15" ht="30" x14ac:dyDescent="0.25">
      <c r="A33" s="181" t="s">
        <v>331</v>
      </c>
      <c r="B33" s="181"/>
      <c r="C33" s="181"/>
      <c r="D33" s="181"/>
      <c r="E33" s="182"/>
      <c r="F33" s="181"/>
      <c r="G33" s="181"/>
      <c r="H33" s="183"/>
      <c r="I33" s="181"/>
      <c r="J33" s="354">
        <f>J32 + J25</f>
        <v>6.5147441200000005</v>
      </c>
      <c r="K33" s="354">
        <f>K32 + K25</f>
        <v>-2.7243377200000003</v>
      </c>
      <c r="L33" s="354">
        <f>L32 + L25</f>
        <v>3.7904063999999997</v>
      </c>
      <c r="M33" s="354">
        <f>M32 + M25</f>
        <v>4.1563255239999997</v>
      </c>
      <c r="N33" s="354">
        <f>IF(AND(N32&gt;0, N25&gt;0),N32 + N25,IF(AND(N32&gt;0, N25&lt;=0),N32,IF(AND(N32&lt;0, N25&gt;=0), N25,0)))</f>
        <v>0</v>
      </c>
      <c r="O33" s="354"/>
    </row>
    <row r="34" spans="1:15" ht="15" x14ac:dyDescent="0.25">
      <c r="A34" s="184" t="s">
        <v>298</v>
      </c>
      <c r="B34" s="184"/>
      <c r="C34" s="185"/>
      <c r="D34" s="185"/>
      <c r="E34" s="184"/>
      <c r="F34" s="184"/>
      <c r="G34" s="184"/>
      <c r="H34" s="383"/>
      <c r="I34" s="184"/>
      <c r="J34" s="403"/>
      <c r="K34" s="403"/>
      <c r="L34" s="403"/>
      <c r="M34" s="403"/>
      <c r="N34" s="403"/>
      <c r="O34" s="404"/>
    </row>
    <row r="35" spans="1:15" ht="15" x14ac:dyDescent="0.25">
      <c r="A35" s="901" t="s">
        <v>325</v>
      </c>
      <c r="B35" s="902"/>
      <c r="C35" s="902"/>
      <c r="D35" s="902"/>
      <c r="E35" s="902"/>
      <c r="F35" s="902"/>
      <c r="G35" s="902"/>
      <c r="H35" s="902"/>
      <c r="I35" s="902"/>
      <c r="J35" s="902"/>
      <c r="K35" s="902"/>
      <c r="L35" s="902"/>
      <c r="M35" s="902"/>
      <c r="N35" s="902"/>
      <c r="O35" s="903"/>
    </row>
    <row r="36" spans="1:15" ht="60" x14ac:dyDescent="0.25">
      <c r="A36" s="176" t="s">
        <v>89</v>
      </c>
      <c r="B36" s="176" t="s">
        <v>90</v>
      </c>
      <c r="C36" s="177" t="s">
        <v>0</v>
      </c>
      <c r="D36" s="177" t="s">
        <v>124</v>
      </c>
      <c r="E36" s="176" t="s">
        <v>143</v>
      </c>
      <c r="F36" s="176" t="s">
        <v>144</v>
      </c>
      <c r="G36" s="176" t="s">
        <v>13</v>
      </c>
      <c r="H36" s="382" t="s">
        <v>88</v>
      </c>
      <c r="I36" s="176" t="s">
        <v>12</v>
      </c>
      <c r="J36" s="400" t="s">
        <v>200</v>
      </c>
      <c r="K36" s="400" t="s">
        <v>199</v>
      </c>
      <c r="L36" s="400" t="s">
        <v>201</v>
      </c>
      <c r="M36" s="400" t="s">
        <v>149</v>
      </c>
      <c r="N36" s="400" t="s">
        <v>179</v>
      </c>
      <c r="O36" s="400" t="s">
        <v>304</v>
      </c>
    </row>
    <row r="37" spans="1:15" ht="30" x14ac:dyDescent="0.25">
      <c r="A37" s="485" t="s">
        <v>84</v>
      </c>
      <c r="B37" s="485" t="s">
        <v>9</v>
      </c>
      <c r="C37" s="485" t="s">
        <v>183</v>
      </c>
      <c r="D37" s="485" t="s">
        <v>142</v>
      </c>
      <c r="E37" s="329" t="s">
        <v>142</v>
      </c>
      <c r="F37" s="485" t="s">
        <v>142</v>
      </c>
      <c r="G37" s="485" t="s">
        <v>22</v>
      </c>
      <c r="H37" s="93">
        <v>41449</v>
      </c>
      <c r="I37" s="485" t="s">
        <v>172</v>
      </c>
      <c r="J37" s="96">
        <v>7.0349999999999996E-2</v>
      </c>
      <c r="K37" s="96" t="s">
        <v>299</v>
      </c>
      <c r="L37" s="292">
        <v>7.0349999999999996E-2</v>
      </c>
      <c r="M37" s="292">
        <f>+O37*50000/1000000</f>
        <v>6.6104999999999997E-2</v>
      </c>
      <c r="N37" s="292">
        <f>M37-L37</f>
        <v>-4.2449999999999988E-3</v>
      </c>
      <c r="O37" s="486">
        <v>1.3221000000000001</v>
      </c>
    </row>
    <row r="38" spans="1:15" ht="30" x14ac:dyDescent="0.25">
      <c r="A38" s="111" t="s">
        <v>297</v>
      </c>
      <c r="B38" s="99"/>
      <c r="C38" s="2"/>
      <c r="D38" s="2"/>
      <c r="E38" s="2"/>
      <c r="F38" s="2"/>
      <c r="G38" s="2"/>
      <c r="H38" s="3"/>
      <c r="I38" s="2"/>
      <c r="J38" s="293"/>
      <c r="K38" s="293"/>
      <c r="L38" s="491">
        <f>L37</f>
        <v>7.0349999999999996E-2</v>
      </c>
      <c r="M38" s="144"/>
      <c r="N38" s="491">
        <f>IF(N37&gt;0,N37,0)</f>
        <v>0</v>
      </c>
      <c r="O38" s="144"/>
    </row>
    <row r="39" spans="1:15" ht="15" x14ac:dyDescent="0.25">
      <c r="A39" s="99"/>
      <c r="B39" s="99"/>
      <c r="C39" s="99"/>
      <c r="D39" s="99"/>
      <c r="E39" s="99"/>
      <c r="F39" s="99"/>
      <c r="G39" s="99"/>
      <c r="H39" s="388"/>
      <c r="I39" s="99"/>
      <c r="J39" s="144"/>
      <c r="K39" s="144"/>
      <c r="L39" s="144"/>
      <c r="M39" s="144"/>
      <c r="N39" s="144"/>
      <c r="O39" s="144"/>
    </row>
    <row r="40" spans="1:15" ht="15" x14ac:dyDescent="0.25">
      <c r="A40" s="99"/>
      <c r="B40" s="99"/>
      <c r="C40" s="99"/>
      <c r="D40" s="99"/>
      <c r="E40" s="99"/>
      <c r="F40" s="99"/>
      <c r="G40" s="99"/>
      <c r="H40" s="388"/>
      <c r="I40" s="99"/>
      <c r="J40" s="77"/>
      <c r="K40" s="144"/>
      <c r="L40" s="144"/>
      <c r="M40" s="77"/>
      <c r="N40" s="77"/>
      <c r="O40" s="77"/>
    </row>
    <row r="41" spans="1:15" ht="15" x14ac:dyDescent="0.25">
      <c r="A41" s="99"/>
      <c r="B41" s="99"/>
      <c r="C41" s="99"/>
      <c r="D41" s="99"/>
      <c r="E41" s="99"/>
      <c r="F41" s="99"/>
      <c r="G41" s="99"/>
      <c r="H41" s="388"/>
      <c r="I41" s="99"/>
      <c r="J41" s="77"/>
      <c r="K41" s="77"/>
      <c r="L41" s="77"/>
      <c r="M41" s="77"/>
      <c r="N41" s="77"/>
      <c r="O41" s="77"/>
    </row>
    <row r="42" spans="1:15" ht="15" x14ac:dyDescent="0.25">
      <c r="A42" s="99"/>
      <c r="B42" s="99"/>
      <c r="C42" s="99"/>
      <c r="D42" s="99"/>
      <c r="E42" s="99"/>
      <c r="F42" s="99"/>
      <c r="G42" s="99"/>
      <c r="H42" s="388"/>
      <c r="I42" s="99"/>
      <c r="J42" s="77"/>
      <c r="K42" s="77"/>
      <c r="L42" s="77"/>
      <c r="M42" s="77"/>
      <c r="N42" s="77"/>
      <c r="O42" s="77"/>
    </row>
    <row r="43" spans="1:15" ht="15" x14ac:dyDescent="0.25">
      <c r="A43" s="99"/>
      <c r="B43" s="99"/>
      <c r="C43" s="99"/>
      <c r="D43" s="99"/>
      <c r="E43" s="99"/>
      <c r="F43" s="99"/>
      <c r="G43" s="99"/>
      <c r="H43" s="388"/>
      <c r="I43" s="99"/>
      <c r="J43" s="77"/>
      <c r="K43" s="77"/>
      <c r="L43" s="77"/>
      <c r="M43" s="77"/>
      <c r="N43" s="77"/>
      <c r="O43" s="77"/>
    </row>
    <row r="44" spans="1:15" ht="15" x14ac:dyDescent="0.25">
      <c r="A44" s="99"/>
      <c r="B44" s="99"/>
      <c r="C44" s="99"/>
      <c r="D44" s="99"/>
      <c r="E44" s="99"/>
      <c r="F44" s="99"/>
      <c r="G44" s="99"/>
      <c r="H44" s="388"/>
      <c r="I44" s="99"/>
      <c r="J44" s="77"/>
      <c r="K44" s="77"/>
      <c r="L44" s="77"/>
      <c r="M44" s="77"/>
      <c r="N44" s="77"/>
      <c r="O44" s="77"/>
    </row>
    <row r="45" spans="1:15" ht="15" x14ac:dyDescent="0.25">
      <c r="A45" s="99"/>
      <c r="B45" s="99"/>
      <c r="C45" s="99"/>
      <c r="D45" s="99"/>
      <c r="E45" s="99"/>
      <c r="F45" s="99"/>
      <c r="G45" s="99"/>
      <c r="H45" s="388"/>
      <c r="I45" s="99"/>
      <c r="J45" s="77"/>
      <c r="K45" s="77"/>
      <c r="L45" s="77"/>
      <c r="M45" s="77"/>
      <c r="N45" s="77"/>
      <c r="O45" s="77"/>
    </row>
    <row r="46" spans="1:15" ht="15" x14ac:dyDescent="0.25">
      <c r="A46" s="99"/>
      <c r="B46" s="99"/>
      <c r="C46" s="99"/>
      <c r="D46" s="99"/>
      <c r="E46" s="99"/>
      <c r="F46" s="99"/>
      <c r="G46" s="99"/>
      <c r="H46" s="388"/>
      <c r="I46" s="99"/>
      <c r="J46" s="77"/>
      <c r="K46" s="77"/>
      <c r="L46" s="77"/>
      <c r="M46" s="77"/>
      <c r="N46" s="77"/>
      <c r="O46" s="77"/>
    </row>
    <row r="47" spans="1:15" ht="15.6" thickBot="1" x14ac:dyDescent="0.3">
      <c r="A47" s="904"/>
      <c r="B47" s="904"/>
      <c r="C47" s="904"/>
      <c r="D47" s="904"/>
      <c r="E47" s="904"/>
      <c r="F47" s="904"/>
      <c r="G47" s="904"/>
      <c r="H47" s="904"/>
      <c r="I47" s="904"/>
      <c r="J47" s="904"/>
      <c r="K47" s="904"/>
      <c r="L47" s="904"/>
      <c r="M47" s="904"/>
      <c r="N47" s="904"/>
      <c r="O47" s="904"/>
    </row>
    <row r="48" spans="1:15" ht="15.6" x14ac:dyDescent="0.3">
      <c r="A48" s="905"/>
      <c r="B48" s="905"/>
      <c r="C48" s="905"/>
      <c r="D48" s="905"/>
      <c r="E48" s="905"/>
      <c r="F48" s="905"/>
      <c r="G48" s="99"/>
      <c r="H48" s="388"/>
      <c r="I48" s="99"/>
      <c r="J48" s="77"/>
      <c r="K48" s="77"/>
      <c r="L48" s="77"/>
      <c r="M48" s="77"/>
      <c r="N48" s="77"/>
      <c r="O48" s="77"/>
    </row>
    <row r="49" spans="1:15" ht="15.6" x14ac:dyDescent="0.3">
      <c r="A49" s="202"/>
      <c r="B49" s="203"/>
      <c r="C49" s="203"/>
      <c r="D49" s="202"/>
      <c r="E49" s="202"/>
      <c r="F49" s="202"/>
      <c r="G49" s="99"/>
      <c r="H49" s="384"/>
      <c r="I49" s="99"/>
      <c r="J49" s="77"/>
      <c r="K49" s="77"/>
      <c r="L49" s="77"/>
      <c r="M49" s="77"/>
      <c r="N49" s="77"/>
      <c r="O49" s="77"/>
    </row>
    <row r="50" spans="1:15" ht="15" x14ac:dyDescent="0.25">
      <c r="A50" s="391"/>
      <c r="B50" s="391"/>
      <c r="C50" s="391"/>
      <c r="D50" s="391"/>
      <c r="E50" s="391"/>
      <c r="F50" s="391"/>
      <c r="G50" s="99"/>
      <c r="H50" s="388"/>
      <c r="I50" s="99"/>
      <c r="J50" s="77"/>
      <c r="K50" s="77"/>
      <c r="L50" s="77"/>
      <c r="M50" s="77"/>
      <c r="N50" s="77"/>
      <c r="O50" s="77"/>
    </row>
    <row r="51" spans="1:15" ht="15" x14ac:dyDescent="0.25">
      <c r="A51" s="395"/>
      <c r="B51" s="392"/>
      <c r="C51" s="392"/>
      <c r="D51" s="392"/>
      <c r="E51" s="392"/>
      <c r="F51" s="205"/>
      <c r="G51" s="99"/>
      <c r="H51" s="388"/>
      <c r="I51" s="99"/>
      <c r="J51" s="77"/>
      <c r="K51" s="77"/>
      <c r="L51" s="77"/>
      <c r="M51" s="77"/>
      <c r="N51" s="77"/>
      <c r="O51" s="77"/>
    </row>
    <row r="52" spans="1:15" ht="15" x14ac:dyDescent="0.25">
      <c r="A52" s="395"/>
      <c r="B52" s="392"/>
      <c r="C52" s="392"/>
      <c r="D52" s="392"/>
      <c r="E52" s="392"/>
      <c r="F52" s="205"/>
      <c r="G52" s="99"/>
      <c r="H52" s="388"/>
      <c r="I52" s="99"/>
      <c r="J52" s="77"/>
      <c r="K52" s="77"/>
      <c r="L52" s="77"/>
      <c r="M52" s="77"/>
      <c r="N52" s="77"/>
      <c r="O52" s="77"/>
    </row>
    <row r="53" spans="1:15" ht="15" x14ac:dyDescent="0.25">
      <c r="A53" s="391"/>
      <c r="B53" s="392"/>
      <c r="C53" s="392"/>
      <c r="D53" s="392"/>
      <c r="E53" s="392"/>
      <c r="F53" s="205"/>
      <c r="G53" s="99"/>
      <c r="H53" s="388"/>
      <c r="I53" s="99"/>
      <c r="J53" s="77"/>
      <c r="K53" s="77"/>
      <c r="L53" s="77"/>
      <c r="M53" s="77"/>
      <c r="N53" s="77"/>
      <c r="O53" s="77"/>
    </row>
    <row r="54" spans="1:15" ht="15" x14ac:dyDescent="0.25">
      <c r="A54" s="395"/>
      <c r="B54" s="392"/>
      <c r="C54" s="392"/>
      <c r="D54" s="392"/>
      <c r="E54" s="392"/>
      <c r="F54" s="205"/>
      <c r="G54" s="99"/>
      <c r="H54" s="388"/>
      <c r="I54" s="99"/>
      <c r="J54" s="77"/>
      <c r="K54" s="77"/>
      <c r="L54" s="77"/>
      <c r="M54" s="77"/>
      <c r="N54" s="77"/>
      <c r="O54" s="77"/>
    </row>
    <row r="55" spans="1:15" ht="15" x14ac:dyDescent="0.25">
      <c r="A55" s="391"/>
      <c r="B55" s="392"/>
      <c r="C55" s="392"/>
      <c r="D55" s="392"/>
      <c r="E55" s="392"/>
      <c r="F55" s="205"/>
      <c r="G55" s="99"/>
      <c r="H55" s="388"/>
      <c r="I55" s="99"/>
      <c r="J55" s="77"/>
      <c r="K55" s="77"/>
      <c r="L55" s="77"/>
      <c r="M55" s="77"/>
      <c r="N55" s="77"/>
      <c r="O55" s="77"/>
    </row>
    <row r="56" spans="1:15" ht="15" x14ac:dyDescent="0.25">
      <c r="A56" s="391"/>
      <c r="B56" s="392"/>
      <c r="C56" s="392"/>
      <c r="D56" s="392"/>
      <c r="E56" s="392"/>
      <c r="F56" s="205"/>
      <c r="G56" s="99"/>
      <c r="H56" s="388"/>
      <c r="I56" s="99"/>
      <c r="J56" s="77"/>
      <c r="K56" s="77"/>
      <c r="L56" s="77"/>
      <c r="M56" s="77"/>
      <c r="N56" s="77"/>
      <c r="O56" s="77"/>
    </row>
    <row r="57" spans="1:15" ht="16.8" x14ac:dyDescent="0.4">
      <c r="A57" s="391"/>
      <c r="B57" s="393"/>
      <c r="C57" s="393"/>
      <c r="D57" s="393"/>
      <c r="E57" s="393"/>
      <c r="F57" s="207"/>
      <c r="G57" s="99"/>
      <c r="H57" s="389"/>
      <c r="I57" s="99"/>
      <c r="J57" s="77"/>
      <c r="K57" s="77"/>
      <c r="L57" s="77"/>
      <c r="M57" s="77"/>
      <c r="N57" s="77"/>
      <c r="O57" s="77"/>
    </row>
    <row r="58" spans="1:15" ht="16.8" x14ac:dyDescent="0.4">
      <c r="A58" s="391"/>
      <c r="B58" s="394"/>
      <c r="C58" s="394"/>
      <c r="D58" s="394"/>
      <c r="E58" s="394"/>
      <c r="F58" s="210"/>
      <c r="G58" s="99"/>
      <c r="H58" s="390"/>
      <c r="I58" s="99"/>
      <c r="J58" s="77"/>
      <c r="K58" s="77"/>
      <c r="L58" s="77"/>
      <c r="M58" s="77"/>
      <c r="N58" s="77"/>
      <c r="O58" s="77"/>
    </row>
    <row r="59" spans="1:15" ht="15" x14ac:dyDescent="0.25">
      <c r="A59" s="391"/>
      <c r="B59" s="391"/>
      <c r="C59" s="391"/>
      <c r="D59" s="391"/>
      <c r="E59" s="391"/>
      <c r="F59" s="391"/>
      <c r="G59" s="99"/>
      <c r="H59" s="388"/>
      <c r="I59" s="99"/>
      <c r="J59" s="77"/>
      <c r="K59" s="77"/>
      <c r="L59" s="77"/>
      <c r="M59" s="77"/>
      <c r="N59" s="77"/>
      <c r="O59" s="77"/>
    </row>
    <row r="60" spans="1:15" ht="15" x14ac:dyDescent="0.25">
      <c r="A60" s="99"/>
      <c r="B60" s="99"/>
      <c r="C60" s="99"/>
      <c r="D60" s="99"/>
      <c r="E60" s="99"/>
      <c r="F60" s="99"/>
      <c r="G60" s="99"/>
      <c r="H60" s="388"/>
      <c r="I60" s="99"/>
      <c r="J60" s="77"/>
      <c r="K60" s="77"/>
      <c r="L60" s="77"/>
      <c r="M60" s="77"/>
      <c r="N60" s="77"/>
      <c r="O60" s="77"/>
    </row>
    <row r="61" spans="1:15" ht="15" x14ac:dyDescent="0.25">
      <c r="A61" s="99"/>
      <c r="B61" s="99"/>
      <c r="C61" s="99"/>
      <c r="D61" s="99"/>
      <c r="E61" s="99"/>
      <c r="F61" s="99"/>
      <c r="G61" s="99"/>
      <c r="H61" s="388"/>
      <c r="I61" s="99"/>
      <c r="J61" s="77"/>
      <c r="K61" s="77"/>
      <c r="L61" s="77"/>
      <c r="M61" s="77"/>
      <c r="N61" s="77"/>
      <c r="O61" s="77"/>
    </row>
    <row r="62" spans="1:15" ht="15" x14ac:dyDescent="0.25">
      <c r="A62" s="99"/>
      <c r="B62" s="99"/>
      <c r="C62" s="99"/>
      <c r="D62" s="99"/>
      <c r="E62" s="99"/>
      <c r="F62" s="99"/>
      <c r="G62" s="99"/>
      <c r="H62" s="388"/>
      <c r="I62" s="99"/>
      <c r="J62" s="77"/>
      <c r="K62" s="77"/>
      <c r="L62" s="77"/>
      <c r="M62" s="77"/>
      <c r="N62" s="77"/>
      <c r="O62" s="77"/>
    </row>
    <row r="63" spans="1:15" ht="15" x14ac:dyDescent="0.25">
      <c r="A63" s="99"/>
      <c r="B63" s="99"/>
      <c r="C63" s="99"/>
      <c r="D63" s="99"/>
      <c r="E63" s="99"/>
      <c r="F63" s="99"/>
      <c r="G63" s="99"/>
      <c r="H63" s="388"/>
      <c r="I63" s="99"/>
      <c r="J63" s="77"/>
      <c r="K63" s="77"/>
      <c r="L63" s="77"/>
      <c r="M63" s="77"/>
      <c r="N63" s="77"/>
      <c r="O63" s="77"/>
    </row>
    <row r="64" spans="1:15" ht="15" x14ac:dyDescent="0.25">
      <c r="A64" s="99"/>
      <c r="B64" s="99"/>
      <c r="C64" s="99"/>
      <c r="D64" s="99"/>
      <c r="E64" s="99"/>
      <c r="F64" s="99"/>
      <c r="G64" s="99"/>
      <c r="H64" s="388"/>
      <c r="I64" s="99"/>
      <c r="J64" s="77"/>
      <c r="K64" s="77"/>
      <c r="L64" s="77"/>
      <c r="M64" s="77"/>
      <c r="N64" s="77"/>
      <c r="O64" s="77"/>
    </row>
    <row r="65" spans="1:15" ht="15" x14ac:dyDescent="0.25">
      <c r="A65" s="99"/>
      <c r="B65" s="99"/>
      <c r="C65" s="99"/>
      <c r="D65" s="99"/>
      <c r="E65" s="99"/>
      <c r="F65" s="99"/>
      <c r="G65" s="99"/>
      <c r="H65" s="388"/>
      <c r="I65" s="99"/>
      <c r="J65" s="77"/>
      <c r="K65" s="77"/>
      <c r="L65" s="77"/>
      <c r="M65" s="77"/>
      <c r="N65" s="77"/>
      <c r="O65" s="77"/>
    </row>
    <row r="66" spans="1:15" ht="15" x14ac:dyDescent="0.25">
      <c r="A66" s="99"/>
      <c r="B66" s="99"/>
      <c r="C66" s="99"/>
      <c r="D66" s="99"/>
      <c r="E66" s="99"/>
      <c r="F66" s="99"/>
      <c r="G66" s="99"/>
      <c r="H66" s="388"/>
      <c r="I66" s="99"/>
      <c r="J66" s="77"/>
      <c r="K66" s="77"/>
      <c r="L66" s="77"/>
      <c r="M66" s="77"/>
      <c r="N66" s="77"/>
      <c r="O66" s="77"/>
    </row>
    <row r="67" spans="1:15" ht="15" x14ac:dyDescent="0.25">
      <c r="A67" s="99"/>
      <c r="B67" s="99"/>
      <c r="C67" s="99"/>
      <c r="D67" s="99"/>
      <c r="E67" s="99"/>
      <c r="F67" s="99"/>
      <c r="G67" s="99"/>
      <c r="H67" s="388"/>
      <c r="I67" s="99"/>
      <c r="J67" s="77"/>
      <c r="K67" s="77"/>
      <c r="L67" s="77"/>
      <c r="M67" s="77"/>
      <c r="N67" s="77"/>
      <c r="O67" s="77"/>
    </row>
    <row r="68" spans="1:15" ht="15" x14ac:dyDescent="0.25">
      <c r="A68" s="99"/>
      <c r="B68" s="99"/>
      <c r="C68" s="99"/>
      <c r="D68" s="99"/>
      <c r="E68" s="99"/>
      <c r="F68" s="99"/>
      <c r="G68" s="99"/>
      <c r="H68" s="388"/>
      <c r="I68" s="99"/>
      <c r="J68" s="77"/>
      <c r="K68" s="77"/>
      <c r="L68" s="77"/>
      <c r="M68" s="77"/>
      <c r="N68" s="77"/>
      <c r="O68" s="77"/>
    </row>
    <row r="69" spans="1:15" ht="15" x14ac:dyDescent="0.25">
      <c r="A69" s="99"/>
      <c r="B69" s="99"/>
      <c r="C69" s="99"/>
      <c r="D69" s="99"/>
      <c r="E69" s="99"/>
      <c r="F69" s="99"/>
      <c r="G69" s="99"/>
      <c r="H69" s="388"/>
      <c r="I69" s="99"/>
      <c r="J69" s="77"/>
      <c r="K69" s="77"/>
      <c r="L69" s="77"/>
      <c r="M69" s="77"/>
      <c r="N69" s="77"/>
      <c r="O69" s="77"/>
    </row>
    <row r="70" spans="1:15" ht="15" x14ac:dyDescent="0.25">
      <c r="A70" s="99"/>
      <c r="B70" s="99"/>
      <c r="C70" s="99"/>
      <c r="D70" s="99"/>
      <c r="E70" s="99"/>
      <c r="F70" s="99"/>
      <c r="G70" s="99"/>
      <c r="H70" s="388"/>
      <c r="I70" s="99"/>
      <c r="J70" s="77"/>
      <c r="K70" s="77"/>
      <c r="L70" s="77"/>
      <c r="M70" s="77"/>
      <c r="N70" s="77"/>
      <c r="O70" s="77"/>
    </row>
    <row r="71" spans="1:15" ht="15" x14ac:dyDescent="0.25">
      <c r="A71" s="99"/>
      <c r="B71" s="99"/>
      <c r="C71" s="99"/>
      <c r="D71" s="99"/>
      <c r="E71" s="99"/>
      <c r="F71" s="99"/>
      <c r="G71" s="99"/>
      <c r="H71" s="388"/>
      <c r="I71" s="99"/>
      <c r="J71" s="77"/>
      <c r="K71" s="77"/>
      <c r="L71" s="77"/>
      <c r="M71" s="77"/>
      <c r="N71" s="77"/>
      <c r="O71" s="77"/>
    </row>
    <row r="72" spans="1:15" ht="15" x14ac:dyDescent="0.25">
      <c r="A72" s="99"/>
      <c r="B72" s="99"/>
      <c r="C72" s="99"/>
      <c r="D72" s="99"/>
      <c r="E72" s="99"/>
      <c r="F72" s="99"/>
      <c r="G72" s="99"/>
      <c r="H72" s="388"/>
      <c r="I72" s="99"/>
      <c r="J72" s="77"/>
      <c r="K72" s="77"/>
      <c r="L72" s="77"/>
      <c r="M72" s="77"/>
      <c r="N72" s="77"/>
      <c r="O72" s="77"/>
    </row>
    <row r="73" spans="1:15" ht="15" x14ac:dyDescent="0.25">
      <c r="A73" s="99"/>
      <c r="B73" s="99"/>
      <c r="C73" s="99"/>
      <c r="D73" s="99"/>
      <c r="E73" s="99"/>
      <c r="F73" s="99"/>
      <c r="G73" s="99"/>
      <c r="H73" s="388"/>
      <c r="I73" s="99"/>
      <c r="J73" s="77"/>
      <c r="K73" s="77"/>
      <c r="L73" s="77"/>
      <c r="M73" s="77"/>
      <c r="N73" s="77"/>
      <c r="O73" s="77"/>
    </row>
    <row r="74" spans="1:15" ht="15" x14ac:dyDescent="0.25">
      <c r="A74" s="99"/>
      <c r="B74" s="99"/>
      <c r="C74" s="99"/>
      <c r="D74" s="99"/>
      <c r="E74" s="99"/>
      <c r="F74" s="99"/>
      <c r="G74" s="99"/>
      <c r="H74" s="388"/>
      <c r="I74" s="99"/>
      <c r="J74" s="77"/>
      <c r="K74" s="77"/>
      <c r="L74" s="77"/>
      <c r="M74" s="77"/>
      <c r="N74" s="77"/>
      <c r="O74" s="77"/>
    </row>
    <row r="75" spans="1:15" ht="15" x14ac:dyDescent="0.25">
      <c r="A75" s="99"/>
      <c r="B75" s="99"/>
      <c r="C75" s="99"/>
      <c r="D75" s="99"/>
      <c r="E75" s="99"/>
      <c r="F75" s="99"/>
      <c r="G75" s="99"/>
      <c r="H75" s="388"/>
      <c r="I75" s="99"/>
      <c r="J75" s="77"/>
      <c r="K75" s="77"/>
      <c r="L75" s="77"/>
      <c r="M75" s="77"/>
      <c r="N75" s="77"/>
      <c r="O75" s="77"/>
    </row>
    <row r="76" spans="1:15" ht="15" x14ac:dyDescent="0.25">
      <c r="A76" s="99"/>
      <c r="B76" s="99"/>
      <c r="C76" s="99"/>
      <c r="D76" s="99"/>
      <c r="E76" s="99"/>
      <c r="F76" s="99"/>
      <c r="G76" s="99"/>
      <c r="H76" s="388"/>
      <c r="I76" s="99"/>
      <c r="J76" s="77"/>
      <c r="K76" s="77"/>
      <c r="L76" s="77"/>
      <c r="M76" s="77"/>
      <c r="N76" s="77"/>
      <c r="O76" s="77"/>
    </row>
    <row r="77" spans="1:15" ht="15" x14ac:dyDescent="0.25">
      <c r="A77" s="99"/>
      <c r="B77" s="99"/>
      <c r="C77" s="99"/>
      <c r="D77" s="99"/>
      <c r="E77" s="99"/>
      <c r="F77" s="99"/>
      <c r="G77" s="99"/>
      <c r="H77" s="388"/>
      <c r="I77" s="99"/>
      <c r="J77" s="77"/>
      <c r="K77" s="77"/>
      <c r="L77" s="77"/>
      <c r="M77" s="77"/>
      <c r="N77" s="77"/>
      <c r="O77" s="77"/>
    </row>
    <row r="78" spans="1:15" ht="15" x14ac:dyDescent="0.25">
      <c r="A78" s="99"/>
      <c r="B78" s="99"/>
      <c r="C78" s="99"/>
      <c r="D78" s="99"/>
      <c r="E78" s="99"/>
      <c r="F78" s="99"/>
      <c r="G78" s="99"/>
      <c r="H78" s="388"/>
      <c r="I78" s="99"/>
      <c r="J78" s="77"/>
      <c r="K78" s="77"/>
      <c r="L78" s="77"/>
      <c r="M78" s="77"/>
      <c r="N78" s="77"/>
      <c r="O78" s="77"/>
    </row>
    <row r="79" spans="1:15" ht="15" x14ac:dyDescent="0.25">
      <c r="A79" s="99"/>
      <c r="B79" s="99"/>
      <c r="C79" s="99"/>
      <c r="D79" s="99"/>
      <c r="E79" s="99"/>
      <c r="F79" s="99"/>
      <c r="G79" s="99"/>
      <c r="H79" s="388"/>
      <c r="I79" s="99"/>
      <c r="J79" s="77"/>
      <c r="K79" s="77"/>
      <c r="L79" s="77"/>
      <c r="M79" s="77"/>
      <c r="N79" s="77"/>
      <c r="O79" s="77"/>
    </row>
    <row r="80" spans="1:15" ht="15" x14ac:dyDescent="0.25">
      <c r="A80" s="99"/>
      <c r="B80" s="99"/>
      <c r="C80" s="99"/>
      <c r="D80" s="99"/>
      <c r="E80" s="99"/>
      <c r="F80" s="99"/>
      <c r="G80" s="99"/>
      <c r="H80" s="388"/>
      <c r="I80" s="99"/>
      <c r="J80" s="77"/>
      <c r="K80" s="77"/>
      <c r="L80" s="77"/>
      <c r="M80" s="77"/>
      <c r="N80" s="77"/>
      <c r="O80" s="77"/>
    </row>
    <row r="81" spans="1:15" ht="15" x14ac:dyDescent="0.25">
      <c r="A81" s="99"/>
      <c r="B81" s="99"/>
      <c r="C81" s="99"/>
      <c r="D81" s="99"/>
      <c r="E81" s="99"/>
      <c r="F81" s="99"/>
      <c r="G81" s="99"/>
      <c r="H81" s="388"/>
      <c r="I81" s="99"/>
      <c r="J81" s="77"/>
      <c r="K81" s="77"/>
      <c r="L81" s="77"/>
      <c r="M81" s="77"/>
      <c r="N81" s="77"/>
      <c r="O81" s="77"/>
    </row>
    <row r="82" spans="1:15" ht="15" x14ac:dyDescent="0.25">
      <c r="A82" s="99"/>
      <c r="B82" s="99"/>
      <c r="C82" s="99"/>
      <c r="D82" s="99"/>
      <c r="E82" s="99"/>
      <c r="F82" s="99"/>
      <c r="G82" s="99"/>
      <c r="H82" s="388"/>
      <c r="I82" s="99"/>
      <c r="J82" s="77"/>
      <c r="K82" s="77"/>
      <c r="L82" s="77"/>
      <c r="M82" s="77"/>
      <c r="N82" s="77"/>
      <c r="O82" s="77"/>
    </row>
    <row r="83" spans="1:15" ht="15" x14ac:dyDescent="0.25">
      <c r="A83" s="99"/>
      <c r="B83" s="99"/>
      <c r="C83" s="99"/>
      <c r="D83" s="99"/>
      <c r="E83" s="99"/>
      <c r="F83" s="99"/>
      <c r="G83" s="99"/>
      <c r="H83" s="388"/>
      <c r="I83" s="99"/>
      <c r="J83" s="77"/>
      <c r="K83" s="77"/>
      <c r="L83" s="77"/>
      <c r="M83" s="77"/>
      <c r="N83" s="77"/>
      <c r="O83" s="77"/>
    </row>
    <row r="84" spans="1:15" ht="15" x14ac:dyDescent="0.25">
      <c r="A84" s="99"/>
      <c r="B84" s="99"/>
      <c r="C84" s="99"/>
      <c r="D84" s="99"/>
      <c r="E84" s="99"/>
      <c r="F84" s="99"/>
      <c r="G84" s="99"/>
      <c r="H84" s="388"/>
      <c r="I84" s="99"/>
      <c r="J84" s="77"/>
      <c r="K84" s="77"/>
      <c r="L84" s="77"/>
      <c r="M84" s="77"/>
      <c r="N84" s="77"/>
      <c r="O84" s="77"/>
    </row>
    <row r="85" spans="1:15" ht="15" x14ac:dyDescent="0.25">
      <c r="A85" s="99"/>
      <c r="B85" s="99"/>
      <c r="C85" s="99"/>
      <c r="D85" s="99"/>
      <c r="E85" s="99"/>
      <c r="F85" s="99"/>
      <c r="G85" s="99"/>
      <c r="H85" s="388"/>
      <c r="I85" s="99"/>
      <c r="J85" s="77"/>
      <c r="K85" s="77"/>
      <c r="L85" s="77"/>
      <c r="M85" s="77"/>
      <c r="N85" s="77"/>
      <c r="O85" s="77"/>
    </row>
    <row r="86" spans="1:15" ht="15" x14ac:dyDescent="0.25">
      <c r="A86" s="99"/>
      <c r="B86" s="99"/>
      <c r="C86" s="99"/>
      <c r="D86" s="99"/>
      <c r="E86" s="99"/>
      <c r="F86" s="99"/>
      <c r="G86" s="99"/>
      <c r="H86" s="388"/>
      <c r="I86" s="99"/>
      <c r="J86" s="77"/>
      <c r="K86" s="77"/>
      <c r="L86" s="77"/>
      <c r="M86" s="77"/>
      <c r="N86" s="77"/>
      <c r="O86" s="77"/>
    </row>
    <row r="87" spans="1:15" ht="15" x14ac:dyDescent="0.25">
      <c r="A87" s="99"/>
      <c r="B87" s="99"/>
      <c r="C87" s="99"/>
      <c r="D87" s="99"/>
      <c r="E87" s="99"/>
      <c r="F87" s="99"/>
      <c r="G87" s="99"/>
      <c r="H87" s="388"/>
      <c r="I87" s="99"/>
      <c r="J87" s="77"/>
      <c r="K87" s="77"/>
      <c r="L87" s="77"/>
      <c r="M87" s="77"/>
      <c r="N87" s="77"/>
      <c r="O87" s="77"/>
    </row>
    <row r="88" spans="1:15" ht="15" x14ac:dyDescent="0.25">
      <c r="A88" s="99"/>
      <c r="B88" s="99"/>
      <c r="C88" s="99"/>
      <c r="D88" s="99"/>
      <c r="E88" s="99"/>
      <c r="F88" s="99"/>
      <c r="G88" s="99"/>
      <c r="H88" s="388"/>
      <c r="I88" s="99"/>
      <c r="J88" s="77"/>
      <c r="K88" s="77"/>
      <c r="L88" s="77"/>
      <c r="M88" s="77"/>
      <c r="N88" s="77"/>
      <c r="O88" s="77"/>
    </row>
    <row r="89" spans="1:15" ht="15" x14ac:dyDescent="0.25">
      <c r="A89" s="99"/>
      <c r="B89" s="99"/>
      <c r="C89" s="99"/>
      <c r="D89" s="99"/>
      <c r="E89" s="99"/>
      <c r="F89" s="99"/>
      <c r="G89" s="99"/>
      <c r="H89" s="388"/>
      <c r="I89" s="99"/>
      <c r="J89" s="77"/>
      <c r="K89" s="77"/>
      <c r="L89" s="77"/>
      <c r="M89" s="77"/>
      <c r="N89" s="77"/>
      <c r="O89" s="77"/>
    </row>
    <row r="90" spans="1:15" ht="15" x14ac:dyDescent="0.25">
      <c r="A90" s="99"/>
      <c r="B90" s="99"/>
      <c r="C90" s="99"/>
      <c r="D90" s="99"/>
      <c r="E90" s="99"/>
      <c r="F90" s="99"/>
      <c r="G90" s="99"/>
      <c r="H90" s="388"/>
      <c r="I90" s="99"/>
      <c r="J90" s="77"/>
      <c r="K90" s="77"/>
      <c r="L90" s="77"/>
      <c r="M90" s="77"/>
      <c r="N90" s="77"/>
      <c r="O90" s="77"/>
    </row>
    <row r="91" spans="1:15" ht="15" x14ac:dyDescent="0.25">
      <c r="A91" s="99"/>
      <c r="B91" s="99"/>
      <c r="C91" s="99"/>
      <c r="D91" s="99"/>
      <c r="E91" s="99"/>
      <c r="F91" s="99"/>
      <c r="G91" s="99"/>
      <c r="H91" s="388"/>
      <c r="I91" s="99"/>
      <c r="J91" s="77"/>
      <c r="K91" s="77"/>
      <c r="L91" s="77"/>
      <c r="M91" s="77"/>
      <c r="N91" s="77"/>
      <c r="O91" s="77"/>
    </row>
    <row r="92" spans="1:15" ht="15" x14ac:dyDescent="0.25">
      <c r="A92" s="99"/>
      <c r="B92" s="99"/>
      <c r="C92" s="99"/>
      <c r="D92" s="99"/>
      <c r="E92" s="99"/>
      <c r="F92" s="99"/>
      <c r="G92" s="99"/>
      <c r="H92" s="388"/>
      <c r="I92" s="99"/>
      <c r="J92" s="77"/>
      <c r="K92" s="77"/>
      <c r="L92" s="77"/>
      <c r="M92" s="77"/>
      <c r="N92" s="77"/>
      <c r="O92" s="77"/>
    </row>
    <row r="93" spans="1:15" ht="15" x14ac:dyDescent="0.25">
      <c r="A93" s="99"/>
      <c r="B93" s="99"/>
      <c r="C93" s="99"/>
      <c r="D93" s="99"/>
      <c r="E93" s="99"/>
      <c r="F93" s="99"/>
      <c r="G93" s="99"/>
      <c r="H93" s="388"/>
      <c r="I93" s="99"/>
      <c r="J93" s="77"/>
      <c r="K93" s="77"/>
      <c r="L93" s="77"/>
      <c r="M93" s="77"/>
      <c r="N93" s="77"/>
      <c r="O93" s="77"/>
    </row>
    <row r="94" spans="1:15" ht="15" x14ac:dyDescent="0.25">
      <c r="A94" s="99"/>
      <c r="B94" s="99"/>
      <c r="C94" s="99"/>
      <c r="D94" s="99"/>
      <c r="E94" s="99"/>
      <c r="F94" s="99"/>
      <c r="G94" s="99"/>
      <c r="H94" s="388"/>
      <c r="I94" s="99"/>
      <c r="J94" s="77"/>
      <c r="K94" s="77"/>
      <c r="L94" s="77"/>
      <c r="M94" s="77"/>
      <c r="N94" s="77"/>
      <c r="O94" s="77"/>
    </row>
    <row r="95" spans="1:15" ht="15" x14ac:dyDescent="0.25">
      <c r="A95" s="99"/>
      <c r="B95" s="99"/>
      <c r="C95" s="99"/>
      <c r="D95" s="99"/>
      <c r="E95" s="99"/>
      <c r="F95" s="99"/>
      <c r="G95" s="99"/>
      <c r="H95" s="388"/>
      <c r="I95" s="99"/>
      <c r="J95" s="77"/>
      <c r="K95" s="77"/>
      <c r="L95" s="77"/>
      <c r="M95" s="77"/>
      <c r="N95" s="77"/>
      <c r="O95" s="77"/>
    </row>
    <row r="96" spans="1:15" ht="15" x14ac:dyDescent="0.25">
      <c r="A96" s="99"/>
      <c r="B96" s="99"/>
      <c r="C96" s="99"/>
      <c r="D96" s="99"/>
      <c r="E96" s="99"/>
      <c r="F96" s="99"/>
      <c r="G96" s="99"/>
      <c r="H96" s="388"/>
      <c r="I96" s="99"/>
      <c r="J96" s="77"/>
      <c r="K96" s="77"/>
      <c r="L96" s="77"/>
      <c r="M96" s="77"/>
      <c r="N96" s="77"/>
      <c r="O96" s="77"/>
    </row>
    <row r="97" spans="1:15" ht="15" x14ac:dyDescent="0.25">
      <c r="A97" s="99"/>
      <c r="B97" s="99"/>
      <c r="C97" s="99"/>
      <c r="D97" s="99"/>
      <c r="E97" s="99"/>
      <c r="F97" s="99"/>
      <c r="G97" s="99"/>
      <c r="H97" s="388"/>
      <c r="I97" s="99"/>
      <c r="J97" s="77"/>
      <c r="K97" s="77"/>
      <c r="L97" s="77"/>
      <c r="M97" s="77"/>
      <c r="N97" s="77"/>
      <c r="O97" s="77"/>
    </row>
    <row r="98" spans="1:15" ht="15" x14ac:dyDescent="0.25">
      <c r="A98" s="99"/>
      <c r="B98" s="99"/>
      <c r="C98" s="99"/>
      <c r="D98" s="99"/>
      <c r="E98" s="99"/>
      <c r="F98" s="99"/>
      <c r="G98" s="99"/>
      <c r="H98" s="388"/>
      <c r="I98" s="99"/>
      <c r="J98" s="77"/>
      <c r="K98" s="77"/>
      <c r="L98" s="77"/>
      <c r="M98" s="77"/>
      <c r="N98" s="77"/>
      <c r="O98" s="77"/>
    </row>
    <row r="99" spans="1:15" ht="15" x14ac:dyDescent="0.25">
      <c r="A99" s="99"/>
      <c r="B99" s="99"/>
      <c r="C99" s="99"/>
      <c r="D99" s="99"/>
      <c r="E99" s="99"/>
      <c r="F99" s="99"/>
      <c r="G99" s="99"/>
      <c r="H99" s="388"/>
      <c r="I99" s="99"/>
      <c r="J99" s="77"/>
      <c r="K99" s="77"/>
      <c r="L99" s="77"/>
      <c r="M99" s="77"/>
      <c r="N99" s="77"/>
      <c r="O99" s="77"/>
    </row>
    <row r="100" spans="1:15" ht="15.6" thickBot="1" x14ac:dyDescent="0.3">
      <c r="A100" s="99"/>
      <c r="B100" s="99"/>
      <c r="C100" s="99"/>
      <c r="D100" s="99"/>
      <c r="E100" s="99"/>
      <c r="F100" s="99"/>
      <c r="G100" s="99"/>
      <c r="H100" s="388"/>
      <c r="I100" s="99"/>
      <c r="J100" s="77"/>
      <c r="K100" s="77"/>
      <c r="L100" s="77"/>
      <c r="M100" s="77"/>
      <c r="N100" s="77"/>
      <c r="O100" s="77"/>
    </row>
    <row r="101" spans="1:15" ht="15" x14ac:dyDescent="0.25">
      <c r="A101" s="894" t="s">
        <v>195</v>
      </c>
      <c r="B101" s="895"/>
      <c r="C101" s="895"/>
      <c r="D101" s="895"/>
      <c r="E101" s="895"/>
      <c r="F101" s="896"/>
      <c r="G101" s="99"/>
      <c r="H101" s="388"/>
      <c r="I101" s="99"/>
      <c r="J101" s="77"/>
      <c r="K101" s="77"/>
      <c r="L101" s="77"/>
      <c r="M101" s="77"/>
      <c r="N101" s="77"/>
      <c r="O101" s="77"/>
    </row>
    <row r="102" spans="1:15" ht="15.6" thickBot="1" x14ac:dyDescent="0.3">
      <c r="A102" s="897"/>
      <c r="B102" s="898"/>
      <c r="C102" s="898"/>
      <c r="D102" s="898"/>
      <c r="E102" s="898"/>
      <c r="F102" s="899"/>
      <c r="G102" s="99"/>
      <c r="H102" s="388"/>
      <c r="I102" s="99"/>
      <c r="J102" s="77"/>
      <c r="K102" s="77"/>
      <c r="L102" s="77"/>
      <c r="M102" s="77"/>
      <c r="N102" s="77"/>
      <c r="O102" s="77"/>
    </row>
    <row r="103" spans="1:15" ht="15" x14ac:dyDescent="0.25">
      <c r="A103" s="162" t="s">
        <v>5</v>
      </c>
      <c r="B103" s="161" t="s">
        <v>6</v>
      </c>
      <c r="C103" s="161" t="s">
        <v>13</v>
      </c>
      <c r="D103" s="161" t="s">
        <v>82</v>
      </c>
      <c r="E103" s="161" t="s">
        <v>115</v>
      </c>
      <c r="F103" s="163" t="s">
        <v>116</v>
      </c>
      <c r="G103" s="99"/>
      <c r="H103" s="388"/>
      <c r="I103" s="99"/>
      <c r="J103" s="77"/>
      <c r="K103" s="77"/>
      <c r="L103" s="77"/>
      <c r="M103" s="77"/>
      <c r="N103" s="77"/>
      <c r="O103" s="77"/>
    </row>
    <row r="104" spans="1:15" ht="15" x14ac:dyDescent="0.25">
      <c r="A104" s="396" t="s">
        <v>239</v>
      </c>
      <c r="B104" s="106"/>
      <c r="C104" s="106"/>
      <c r="D104" s="106"/>
      <c r="E104" s="106"/>
      <c r="F104" s="107"/>
      <c r="G104" s="99"/>
      <c r="H104" s="388"/>
      <c r="I104" s="99"/>
      <c r="J104" s="77"/>
      <c r="K104" s="77"/>
      <c r="L104" s="77"/>
      <c r="M104" s="77"/>
      <c r="N104" s="77"/>
      <c r="O104" s="77"/>
    </row>
    <row r="105" spans="1:15" ht="30" x14ac:dyDescent="0.25">
      <c r="A105" s="396" t="s">
        <v>91</v>
      </c>
      <c r="B105" s="106" t="s">
        <v>190</v>
      </c>
      <c r="C105" s="106" t="s">
        <v>18</v>
      </c>
      <c r="D105" s="106" t="s">
        <v>8</v>
      </c>
      <c r="E105" s="106" t="s">
        <v>36</v>
      </c>
      <c r="F105" s="107" t="s">
        <v>29</v>
      </c>
      <c r="G105" s="99"/>
      <c r="H105" s="388"/>
      <c r="I105" s="99"/>
      <c r="J105" s="77"/>
      <c r="K105" s="77"/>
      <c r="L105" s="77"/>
      <c r="M105" s="77"/>
      <c r="N105" s="77"/>
      <c r="O105" s="77"/>
    </row>
    <row r="106" spans="1:15" ht="30" x14ac:dyDescent="0.25">
      <c r="A106" s="397" t="s">
        <v>27</v>
      </c>
      <c r="B106" s="106" t="s">
        <v>192</v>
      </c>
      <c r="C106" s="106" t="s">
        <v>15</v>
      </c>
      <c r="D106" s="106" t="s">
        <v>84</v>
      </c>
      <c r="E106" s="106" t="s">
        <v>35</v>
      </c>
      <c r="F106" s="107" t="s">
        <v>28</v>
      </c>
      <c r="G106" s="99"/>
      <c r="H106" s="388"/>
      <c r="I106" s="99"/>
      <c r="J106" s="77"/>
      <c r="K106" s="77"/>
      <c r="L106" s="77"/>
      <c r="M106" s="77"/>
      <c r="N106" s="77"/>
      <c r="O106" s="77"/>
    </row>
    <row r="107" spans="1:15" ht="30" x14ac:dyDescent="0.25">
      <c r="A107" s="397" t="s">
        <v>125</v>
      </c>
      <c r="B107" s="106" t="s">
        <v>191</v>
      </c>
      <c r="C107" s="106" t="s">
        <v>16</v>
      </c>
      <c r="D107" s="106"/>
      <c r="E107" s="106" t="s">
        <v>46</v>
      </c>
      <c r="F107" s="107" t="s">
        <v>34</v>
      </c>
      <c r="G107" s="99"/>
      <c r="H107" s="388"/>
      <c r="I107" s="99"/>
      <c r="J107" s="77"/>
      <c r="K107" s="77"/>
      <c r="L107" s="77"/>
      <c r="M107" s="77"/>
      <c r="N107" s="77"/>
      <c r="O107" s="77"/>
    </row>
    <row r="108" spans="1:15" ht="15" x14ac:dyDescent="0.25">
      <c r="A108" s="396" t="s">
        <v>128</v>
      </c>
      <c r="B108" s="106" t="s">
        <v>193</v>
      </c>
      <c r="C108" s="106" t="s">
        <v>20</v>
      </c>
      <c r="D108" s="106"/>
      <c r="E108" s="106" t="s">
        <v>44</v>
      </c>
      <c r="F108" s="107" t="s">
        <v>142</v>
      </c>
      <c r="G108" s="99"/>
      <c r="H108" s="388"/>
      <c r="I108" s="99"/>
      <c r="J108" s="77"/>
      <c r="K108" s="77"/>
      <c r="L108" s="77"/>
      <c r="M108" s="77"/>
      <c r="N108" s="77"/>
      <c r="O108" s="77"/>
    </row>
    <row r="109" spans="1:15" ht="15" x14ac:dyDescent="0.25">
      <c r="A109" s="397" t="s">
        <v>326</v>
      </c>
      <c r="B109" s="106"/>
      <c r="C109" s="106" t="s">
        <v>19</v>
      </c>
      <c r="D109" s="106"/>
      <c r="E109" s="106" t="s">
        <v>37</v>
      </c>
      <c r="F109" s="107" t="s">
        <v>30</v>
      </c>
      <c r="G109" s="99"/>
      <c r="H109" s="388"/>
      <c r="I109" s="99"/>
      <c r="J109" s="77"/>
      <c r="K109" s="77"/>
      <c r="L109" s="77"/>
      <c r="M109" s="77"/>
      <c r="N109" s="77"/>
      <c r="O109" s="77"/>
    </row>
    <row r="110" spans="1:15" ht="30" x14ac:dyDescent="0.25">
      <c r="A110" s="396" t="s">
        <v>308</v>
      </c>
      <c r="B110" s="106"/>
      <c r="C110" s="106" t="s">
        <v>21</v>
      </c>
      <c r="D110" s="106"/>
      <c r="E110" s="106" t="s">
        <v>117</v>
      </c>
      <c r="F110" s="107" t="s">
        <v>121</v>
      </c>
      <c r="G110" s="99"/>
      <c r="H110" s="388"/>
      <c r="I110" s="99"/>
      <c r="J110" s="77"/>
      <c r="K110" s="77"/>
      <c r="L110" s="77"/>
      <c r="M110" s="77"/>
      <c r="N110" s="77"/>
      <c r="O110" s="77"/>
    </row>
    <row r="111" spans="1:15" ht="30" x14ac:dyDescent="0.25">
      <c r="A111" s="396" t="s">
        <v>309</v>
      </c>
      <c r="B111" s="106"/>
      <c r="C111" s="106" t="s">
        <v>14</v>
      </c>
      <c r="D111" s="106"/>
      <c r="E111" s="106" t="s">
        <v>42</v>
      </c>
      <c r="F111" s="107" t="s">
        <v>40</v>
      </c>
      <c r="G111" s="99"/>
      <c r="H111" s="388"/>
      <c r="I111" s="99"/>
      <c r="J111" s="77"/>
      <c r="K111" s="77"/>
      <c r="L111" s="77"/>
      <c r="M111" s="77"/>
      <c r="N111" s="77"/>
      <c r="O111" s="77"/>
    </row>
    <row r="112" spans="1:15" ht="30" x14ac:dyDescent="0.25">
      <c r="A112" s="396" t="s">
        <v>307</v>
      </c>
      <c r="B112" s="106"/>
      <c r="C112" s="106" t="s">
        <v>17</v>
      </c>
      <c r="D112" s="106"/>
      <c r="E112" s="106" t="s">
        <v>38</v>
      </c>
      <c r="F112" s="107" t="s">
        <v>31</v>
      </c>
      <c r="G112" s="99"/>
      <c r="H112" s="388"/>
      <c r="I112" s="99"/>
      <c r="J112" s="77"/>
      <c r="K112" s="77"/>
      <c r="L112" s="77"/>
      <c r="M112" s="77"/>
      <c r="N112" s="77"/>
      <c r="O112" s="77"/>
    </row>
    <row r="113" spans="1:15" ht="15" x14ac:dyDescent="0.25">
      <c r="A113" s="397" t="s">
        <v>4</v>
      </c>
      <c r="B113" s="106"/>
      <c r="C113" s="106"/>
      <c r="D113" s="106"/>
      <c r="E113" s="106" t="s">
        <v>41</v>
      </c>
      <c r="F113" s="107" t="s">
        <v>39</v>
      </c>
      <c r="G113" s="99"/>
      <c r="H113" s="388"/>
      <c r="I113" s="99"/>
      <c r="J113" s="77"/>
      <c r="K113" s="77"/>
      <c r="L113" s="77"/>
      <c r="M113" s="77"/>
      <c r="N113" s="77"/>
      <c r="O113" s="77"/>
    </row>
    <row r="114" spans="1:15" ht="15" x14ac:dyDescent="0.25">
      <c r="A114" s="397" t="s">
        <v>126</v>
      </c>
      <c r="B114" s="106"/>
      <c r="C114" s="106"/>
      <c r="D114" s="106"/>
      <c r="E114" s="106" t="s">
        <v>43</v>
      </c>
      <c r="F114" s="107" t="s">
        <v>120</v>
      </c>
      <c r="G114" s="99"/>
      <c r="H114" s="388"/>
      <c r="I114" s="99"/>
      <c r="J114" s="77"/>
      <c r="K114" s="77"/>
      <c r="L114" s="77"/>
      <c r="M114" s="77"/>
      <c r="N114" s="77"/>
      <c r="O114" s="77"/>
    </row>
    <row r="115" spans="1:15" x14ac:dyDescent="0.25">
      <c r="A115" s="2" t="s">
        <v>238</v>
      </c>
      <c r="B115" s="2"/>
      <c r="C115" s="2"/>
      <c r="D115" s="2"/>
      <c r="E115" s="2" t="s">
        <v>118</v>
      </c>
      <c r="F115" s="2" t="s">
        <v>122</v>
      </c>
      <c r="G115" s="2"/>
      <c r="H115" s="3"/>
      <c r="I115" s="2"/>
    </row>
    <row r="116" spans="1:15" x14ac:dyDescent="0.25">
      <c r="A116" s="2" t="s">
        <v>183</v>
      </c>
      <c r="B116" s="2"/>
      <c r="C116" s="2"/>
      <c r="D116" s="2"/>
      <c r="E116" s="2" t="s">
        <v>45</v>
      </c>
      <c r="F116" s="2" t="s">
        <v>32</v>
      </c>
      <c r="G116" s="2"/>
      <c r="H116" s="3"/>
      <c r="I116" s="2"/>
    </row>
    <row r="117" spans="1:15" ht="15" x14ac:dyDescent="0.25">
      <c r="A117" s="2"/>
      <c r="B117" s="2"/>
      <c r="C117" s="2"/>
      <c r="D117" s="2"/>
      <c r="E117" s="106" t="s">
        <v>142</v>
      </c>
      <c r="F117" s="2"/>
      <c r="G117" s="2"/>
      <c r="H117" s="3"/>
      <c r="I117" s="2"/>
    </row>
    <row r="118" spans="1:15" x14ac:dyDescent="0.25">
      <c r="A118" s="2"/>
      <c r="B118" s="2"/>
      <c r="C118" s="2"/>
      <c r="D118" s="2"/>
      <c r="E118" s="2"/>
      <c r="F118" s="2"/>
      <c r="G118" s="2"/>
      <c r="H118" s="3"/>
      <c r="I118" s="2"/>
    </row>
    <row r="119" spans="1:15" x14ac:dyDescent="0.25">
      <c r="A119" s="2"/>
      <c r="B119" s="2"/>
      <c r="C119" s="2"/>
      <c r="D119" s="2"/>
      <c r="E119" s="2"/>
      <c r="F119" s="2"/>
      <c r="G119" s="2"/>
      <c r="H119" s="3"/>
      <c r="I119" s="2"/>
    </row>
    <row r="120" spans="1:15" x14ac:dyDescent="0.25">
      <c r="A120" s="2"/>
      <c r="B120" s="2"/>
      <c r="C120" s="2"/>
      <c r="D120" s="2"/>
      <c r="E120" s="2"/>
      <c r="F120" s="2"/>
      <c r="G120" s="2"/>
      <c r="H120" s="3"/>
      <c r="I120" s="2"/>
    </row>
    <row r="121" spans="1:15" x14ac:dyDescent="0.25">
      <c r="A121" s="2"/>
      <c r="B121" s="2"/>
      <c r="C121" s="2"/>
      <c r="D121" s="2"/>
      <c r="E121" s="2"/>
      <c r="F121" s="2"/>
      <c r="G121" s="2"/>
      <c r="H121" s="3"/>
      <c r="I121" s="2"/>
    </row>
    <row r="122" spans="1:15" x14ac:dyDescent="0.25">
      <c r="A122" s="2"/>
      <c r="B122" s="2"/>
      <c r="C122" s="2"/>
      <c r="D122" s="2"/>
      <c r="E122" s="2"/>
      <c r="F122" s="2"/>
      <c r="G122" s="2"/>
      <c r="H122" s="3"/>
      <c r="I122" s="2"/>
    </row>
    <row r="123" spans="1:15" x14ac:dyDescent="0.25">
      <c r="A123" s="2"/>
      <c r="B123" s="2"/>
      <c r="C123" s="2"/>
      <c r="D123" s="2"/>
      <c r="E123" s="2"/>
      <c r="F123" s="2"/>
      <c r="G123" s="2"/>
      <c r="H123" s="3"/>
      <c r="I123" s="2"/>
    </row>
    <row r="124" spans="1:15" x14ac:dyDescent="0.25">
      <c r="A124" s="2"/>
      <c r="B124" s="2"/>
      <c r="C124" s="2"/>
      <c r="D124" s="2"/>
      <c r="E124" s="2"/>
      <c r="F124" s="2"/>
      <c r="G124" s="2"/>
      <c r="H124" s="3"/>
      <c r="I124" s="2"/>
    </row>
    <row r="125" spans="1:15" x14ac:dyDescent="0.25">
      <c r="A125" s="2"/>
      <c r="B125" s="2"/>
      <c r="C125" s="2"/>
      <c r="D125" s="2"/>
      <c r="E125" s="2"/>
      <c r="F125" s="2"/>
      <c r="G125" s="2"/>
      <c r="H125" s="3"/>
      <c r="I125" s="2"/>
    </row>
    <row r="126" spans="1:15" x14ac:dyDescent="0.25">
      <c r="A126" s="2"/>
      <c r="B126" s="2"/>
      <c r="C126" s="2"/>
      <c r="D126" s="2"/>
      <c r="E126" s="2"/>
      <c r="F126" s="2"/>
      <c r="G126" s="2"/>
      <c r="H126" s="3"/>
      <c r="I126" s="2"/>
    </row>
    <row r="127" spans="1:15" x14ac:dyDescent="0.25">
      <c r="A127" s="2"/>
      <c r="B127" s="2"/>
      <c r="C127" s="2"/>
      <c r="D127" s="2"/>
      <c r="E127" s="2"/>
      <c r="F127" s="2"/>
      <c r="G127" s="2"/>
      <c r="H127" s="3"/>
      <c r="I127" s="2"/>
    </row>
    <row r="128" spans="1:15" x14ac:dyDescent="0.25">
      <c r="A128" s="2"/>
      <c r="B128" s="2"/>
      <c r="C128" s="2"/>
      <c r="D128" s="2"/>
      <c r="E128" s="2"/>
      <c r="F128" s="2"/>
      <c r="G128" s="2"/>
      <c r="H128" s="3"/>
      <c r="I128" s="2"/>
    </row>
    <row r="129" spans="1:9" x14ac:dyDescent="0.25">
      <c r="A129" s="2"/>
      <c r="B129" s="2"/>
      <c r="C129" s="2"/>
      <c r="D129" s="2"/>
      <c r="E129" s="2"/>
      <c r="F129" s="2"/>
      <c r="G129" s="2"/>
      <c r="H129" s="3"/>
      <c r="I129" s="2"/>
    </row>
  </sheetData>
  <sheetProtection selectLockedCells="1"/>
  <mergeCells count="7">
    <mergeCell ref="A101:F102"/>
    <mergeCell ref="A1:O1"/>
    <mergeCell ref="A3:O3"/>
    <mergeCell ref="A11:O11"/>
    <mergeCell ref="A35:O35"/>
    <mergeCell ref="A47:O47"/>
    <mergeCell ref="A48:F48"/>
  </mergeCells>
  <dataValidations count="8">
    <dataValidation type="list" allowBlank="1" showInputMessage="1" showErrorMessage="1" sqref="F18 F5:F10 F37 F25:F31" xr:uid="{00000000-0002-0000-0D00-000000000000}">
      <formula1>$E$110:$E$124</formula1>
    </dataValidation>
    <dataValidation type="list" allowBlank="1" showInputMessage="1" showErrorMessage="1" sqref="G5:G10 G14:G18 G37 G22:G31" xr:uid="{00000000-0002-0000-0D00-000001000000}">
      <formula1>$C$110:$C$118</formula1>
    </dataValidation>
    <dataValidation type="list" allowBlank="1" showInputMessage="1" showErrorMessage="1" sqref="A5:A10 A37 A14:A18 A22:A31" xr:uid="{00000000-0002-0000-0D00-000002000000}">
      <formula1>$D$110:$D$112</formula1>
    </dataValidation>
    <dataValidation type="list" allowBlank="1" showInputMessage="1" showErrorMessage="1" sqref="B5:B10 B22:B31 B14:B18 B37" xr:uid="{00000000-0002-0000-0D00-000003000000}">
      <formula1>$B$110:$B$114</formula1>
    </dataValidation>
    <dataValidation type="list" allowBlank="1" showInputMessage="1" showErrorMessage="1" sqref="E5:E10 E22:E31 E37 E14:E18" xr:uid="{00000000-0002-0000-0D00-000004000000}">
      <formula1>$F$110:$F$124</formula1>
    </dataValidation>
    <dataValidation type="list" allowBlank="1" showInputMessage="1" showErrorMessage="1" sqref="C22:D31 C14:D18 C37:D37 C5:D10" xr:uid="{00000000-0002-0000-0D00-000005000000}">
      <formula1>$A$110:$A$122</formula1>
    </dataValidation>
    <dataValidation type="list" allowBlank="1" showInputMessage="1" showErrorMessage="1" sqref="E40 C39:D46" xr:uid="{00000000-0002-0000-0D00-000006000000}">
      <formula1>#REF!</formula1>
    </dataValidation>
    <dataValidation type="list" allowBlank="1" showInputMessage="1" showErrorMessage="1" sqref="F14:F17 F21:F24" xr:uid="{00000000-0002-0000-0D00-000007000000}">
      <formula1>$E$108:$E$124</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41"/>
  <dimension ref="A1:EA129"/>
  <sheetViews>
    <sheetView topLeftCell="E1" zoomScale="70" zoomScaleNormal="70" workbookViewId="0">
      <selection activeCell="K6" sqref="K6"/>
    </sheetView>
  </sheetViews>
  <sheetFormatPr defaultColWidth="8.77734375" defaultRowHeight="13.2" x14ac:dyDescent="0.25"/>
  <cols>
    <col min="1" max="15" width="26.44140625" customWidth="1"/>
  </cols>
  <sheetData>
    <row r="1" spans="1:131" ht="18" thickBot="1" x14ac:dyDescent="0.3">
      <c r="A1" s="900" t="s">
        <v>310</v>
      </c>
      <c r="B1" s="900"/>
      <c r="C1" s="900"/>
      <c r="D1" s="900"/>
      <c r="E1" s="900"/>
      <c r="F1" s="900"/>
      <c r="G1" s="900"/>
      <c r="H1" s="900"/>
      <c r="I1" s="900"/>
      <c r="J1" s="900"/>
      <c r="K1" s="900"/>
      <c r="L1" s="900"/>
      <c r="M1" s="900"/>
      <c r="N1" s="900"/>
      <c r="O1" s="900"/>
    </row>
    <row r="2" spans="1:131" ht="17.399999999999999" x14ac:dyDescent="0.25">
      <c r="A2" s="549" t="s">
        <v>188</v>
      </c>
      <c r="B2" s="175"/>
      <c r="C2" s="549"/>
      <c r="D2" s="549"/>
      <c r="E2" s="549"/>
      <c r="F2" s="549"/>
      <c r="G2" s="549"/>
      <c r="H2" s="381"/>
      <c r="I2" s="549"/>
      <c r="J2" s="399"/>
      <c r="K2" s="399"/>
      <c r="L2" s="399"/>
      <c r="M2" s="399"/>
      <c r="N2" s="399"/>
      <c r="O2" s="399"/>
    </row>
    <row r="3" spans="1:131" ht="15" x14ac:dyDescent="0.25">
      <c r="A3" s="901" t="s">
        <v>204</v>
      </c>
      <c r="B3" s="902"/>
      <c r="C3" s="902"/>
      <c r="D3" s="902"/>
      <c r="E3" s="902"/>
      <c r="F3" s="902"/>
      <c r="G3" s="902"/>
      <c r="H3" s="902"/>
      <c r="I3" s="902"/>
      <c r="J3" s="902"/>
      <c r="K3" s="902"/>
      <c r="L3" s="902"/>
      <c r="M3" s="902"/>
      <c r="N3" s="902"/>
      <c r="O3" s="903"/>
    </row>
    <row r="4" spans="1:131" ht="60" x14ac:dyDescent="0.25">
      <c r="A4" s="176" t="s">
        <v>89</v>
      </c>
      <c r="B4" s="176" t="s">
        <v>90</v>
      </c>
      <c r="C4" s="177" t="s">
        <v>0</v>
      </c>
      <c r="D4" s="177" t="s">
        <v>124</v>
      </c>
      <c r="E4" s="176" t="s">
        <v>143</v>
      </c>
      <c r="F4" s="176" t="s">
        <v>144</v>
      </c>
      <c r="G4" s="176" t="s">
        <v>13</v>
      </c>
      <c r="H4" s="382" t="s">
        <v>88</v>
      </c>
      <c r="I4" s="176" t="s">
        <v>12</v>
      </c>
      <c r="J4" s="400" t="s">
        <v>158</v>
      </c>
      <c r="K4" s="400" t="s">
        <v>148</v>
      </c>
      <c r="L4" s="400" t="s">
        <v>180</v>
      </c>
      <c r="M4" s="400" t="s">
        <v>104</v>
      </c>
      <c r="N4" s="400" t="s">
        <v>179</v>
      </c>
      <c r="O4" s="400" t="s">
        <v>205</v>
      </c>
    </row>
    <row r="5" spans="1:131" ht="30" x14ac:dyDescent="0.25">
      <c r="A5" s="482" t="s">
        <v>84</v>
      </c>
      <c r="B5" s="482" t="s">
        <v>3</v>
      </c>
      <c r="C5" s="482" t="s">
        <v>307</v>
      </c>
      <c r="D5" s="482" t="s">
        <v>307</v>
      </c>
      <c r="E5" s="327" t="s">
        <v>120</v>
      </c>
      <c r="F5" s="457" t="s">
        <v>45</v>
      </c>
      <c r="G5" s="482" t="s">
        <v>14</v>
      </c>
      <c r="H5" s="483">
        <v>44423</v>
      </c>
      <c r="I5" s="482" t="s">
        <v>23</v>
      </c>
      <c r="J5" s="350">
        <v>143.66999999999999</v>
      </c>
      <c r="K5" s="350">
        <f>'Nov13'!K5</f>
        <v>110.75</v>
      </c>
      <c r="L5" s="496">
        <f t="shared" ref="L5:L8" si="0">N5-M5</f>
        <v>11.623673239999999</v>
      </c>
      <c r="M5" s="350">
        <f t="shared" ref="M5:N8" si="1">-DZ5/1000000</f>
        <v>1.5481970300000001</v>
      </c>
      <c r="N5" s="350">
        <f t="shared" si="1"/>
        <v>13.171870269999999</v>
      </c>
      <c r="O5" s="88"/>
      <c r="DZ5">
        <v>-1548197.03</v>
      </c>
      <c r="EA5">
        <v>-13171870.27</v>
      </c>
    </row>
    <row r="6" spans="1:131" ht="30" x14ac:dyDescent="0.25">
      <c r="A6" s="485" t="s">
        <v>84</v>
      </c>
      <c r="B6" s="485" t="s">
        <v>3</v>
      </c>
      <c r="C6" s="485" t="s">
        <v>307</v>
      </c>
      <c r="D6" s="485" t="s">
        <v>307</v>
      </c>
      <c r="E6" s="329" t="s">
        <v>120</v>
      </c>
      <c r="F6" s="457" t="s">
        <v>45</v>
      </c>
      <c r="G6" s="485" t="s">
        <v>14</v>
      </c>
      <c r="H6" s="93">
        <v>44576</v>
      </c>
      <c r="I6" s="485" t="s">
        <v>24</v>
      </c>
      <c r="J6" s="351">
        <v>27.4</v>
      </c>
      <c r="K6" s="351">
        <f>'Nov13'!K6</f>
        <v>25.83</v>
      </c>
      <c r="L6" s="497">
        <f t="shared" si="0"/>
        <v>3.0678274800000001</v>
      </c>
      <c r="M6" s="351">
        <f t="shared" si="1"/>
        <v>7.6981649999999999E-2</v>
      </c>
      <c r="N6" s="351">
        <f t="shared" si="1"/>
        <v>3.1448091300000001</v>
      </c>
      <c r="O6" s="96"/>
      <c r="DZ6">
        <v>-76981.649999999994</v>
      </c>
      <c r="EA6">
        <v>-3144809.13</v>
      </c>
    </row>
    <row r="7" spans="1:131" ht="30" x14ac:dyDescent="0.25">
      <c r="A7" s="482" t="s">
        <v>84</v>
      </c>
      <c r="B7" s="482" t="s">
        <v>3</v>
      </c>
      <c r="C7" s="482" t="s">
        <v>308</v>
      </c>
      <c r="D7" s="482" t="s">
        <v>308</v>
      </c>
      <c r="E7" s="327" t="s">
        <v>39</v>
      </c>
      <c r="F7" s="457" t="s">
        <v>38</v>
      </c>
      <c r="G7" s="482" t="s">
        <v>14</v>
      </c>
      <c r="H7" s="483">
        <v>44576</v>
      </c>
      <c r="I7" s="482" t="s">
        <v>24</v>
      </c>
      <c r="J7" s="350">
        <v>26.85</v>
      </c>
      <c r="K7" s="350">
        <f>'Nov13'!K7</f>
        <v>25.38</v>
      </c>
      <c r="L7" s="496">
        <f t="shared" si="0"/>
        <v>3.0077097199999998</v>
      </c>
      <c r="M7" s="350">
        <f t="shared" si="1"/>
        <v>7.5625600000000001E-2</v>
      </c>
      <c r="N7" s="350">
        <f t="shared" si="1"/>
        <v>3.0833353199999998</v>
      </c>
      <c r="O7" s="88"/>
      <c r="DZ7">
        <v>-75625.600000000006</v>
      </c>
      <c r="EA7">
        <v>-3083335.32</v>
      </c>
    </row>
    <row r="8" spans="1:131" ht="30" x14ac:dyDescent="0.25">
      <c r="A8" s="485" t="s">
        <v>84</v>
      </c>
      <c r="B8" s="485" t="s">
        <v>3</v>
      </c>
      <c r="C8" s="485" t="s">
        <v>309</v>
      </c>
      <c r="D8" s="485" t="s">
        <v>125</v>
      </c>
      <c r="E8" s="329" t="s">
        <v>40</v>
      </c>
      <c r="F8" s="458" t="s">
        <v>42</v>
      </c>
      <c r="G8" s="485" t="s">
        <v>14</v>
      </c>
      <c r="H8" s="93">
        <v>46296</v>
      </c>
      <c r="I8" s="485" t="s">
        <v>25</v>
      </c>
      <c r="J8" s="351">
        <v>40.880000000000003</v>
      </c>
      <c r="K8" s="351">
        <f>'Nov13'!K8</f>
        <v>35.590000000000003</v>
      </c>
      <c r="L8" s="497">
        <f t="shared" si="0"/>
        <v>4.0730171200000003</v>
      </c>
      <c r="M8" s="351">
        <f t="shared" si="1"/>
        <v>7.1036520000000006E-2</v>
      </c>
      <c r="N8" s="351">
        <f t="shared" si="1"/>
        <v>4.1440536400000001</v>
      </c>
      <c r="O8" s="96"/>
      <c r="DZ8">
        <v>-71036.52</v>
      </c>
      <c r="EA8">
        <v>-4144053.64</v>
      </c>
    </row>
    <row r="9" spans="1:131" ht="15" x14ac:dyDescent="0.25">
      <c r="A9" s="111"/>
      <c r="B9" s="111"/>
      <c r="C9" s="111"/>
      <c r="D9" s="111"/>
      <c r="E9" s="123"/>
      <c r="F9" s="111"/>
      <c r="G9" s="111"/>
      <c r="H9" s="114"/>
      <c r="I9" s="111"/>
      <c r="J9" s="352"/>
      <c r="K9" s="352"/>
      <c r="L9" s="352"/>
      <c r="M9" s="352"/>
      <c r="N9" s="353"/>
      <c r="O9" s="353"/>
    </row>
    <row r="10" spans="1:131" ht="15" x14ac:dyDescent="0.25">
      <c r="A10" s="485"/>
      <c r="B10" s="485"/>
      <c r="C10" s="485"/>
      <c r="D10" s="485"/>
      <c r="E10" s="329"/>
      <c r="F10" s="485"/>
      <c r="G10" s="485"/>
      <c r="H10" s="93"/>
      <c r="I10" s="485"/>
      <c r="J10" s="351"/>
      <c r="K10" s="351"/>
      <c r="L10" s="351"/>
      <c r="M10" s="351"/>
      <c r="N10" s="96"/>
      <c r="O10" s="96"/>
    </row>
    <row r="11" spans="1:131" ht="15" x14ac:dyDescent="0.25">
      <c r="A11" s="901" t="s">
        <v>203</v>
      </c>
      <c r="B11" s="902"/>
      <c r="C11" s="902"/>
      <c r="D11" s="902"/>
      <c r="E11" s="902"/>
      <c r="F11" s="902"/>
      <c r="G11" s="902"/>
      <c r="H11" s="902"/>
      <c r="I11" s="902"/>
      <c r="J11" s="902"/>
      <c r="K11" s="902"/>
      <c r="L11" s="902"/>
      <c r="M11" s="902"/>
      <c r="N11" s="902"/>
      <c r="O11" s="903"/>
    </row>
    <row r="12" spans="1:131" ht="60" x14ac:dyDescent="0.25">
      <c r="A12" s="176" t="s">
        <v>89</v>
      </c>
      <c r="B12" s="176" t="s">
        <v>90</v>
      </c>
      <c r="C12" s="177" t="s">
        <v>0</v>
      </c>
      <c r="D12" s="180" t="s">
        <v>124</v>
      </c>
      <c r="E12" s="176" t="s">
        <v>143</v>
      </c>
      <c r="F12" s="176" t="s">
        <v>144</v>
      </c>
      <c r="G12" s="176" t="s">
        <v>13</v>
      </c>
      <c r="H12" s="382" t="s">
        <v>88</v>
      </c>
      <c r="I12" s="176" t="s">
        <v>12</v>
      </c>
      <c r="J12" s="400" t="s">
        <v>150</v>
      </c>
      <c r="K12" s="400" t="s">
        <v>151</v>
      </c>
      <c r="L12" s="400" t="s">
        <v>157</v>
      </c>
      <c r="M12" s="400" t="s">
        <v>149</v>
      </c>
      <c r="N12" s="400" t="s">
        <v>179</v>
      </c>
      <c r="O12" s="400" t="s">
        <v>205</v>
      </c>
    </row>
    <row r="13" spans="1:131" ht="15" x14ac:dyDescent="0.25">
      <c r="A13" s="184" t="s">
        <v>197</v>
      </c>
      <c r="B13" s="184"/>
      <c r="C13" s="185"/>
      <c r="D13" s="185"/>
      <c r="E13" s="184"/>
      <c r="F13" s="184"/>
      <c r="G13" s="184"/>
      <c r="H13" s="383"/>
      <c r="I13" s="184"/>
      <c r="J13" s="403"/>
      <c r="K13" s="403"/>
      <c r="L13" s="403"/>
      <c r="M13" s="403"/>
      <c r="N13" s="403"/>
      <c r="O13" s="404"/>
    </row>
    <row r="14" spans="1:131" ht="30" x14ac:dyDescent="0.25">
      <c r="A14" s="482" t="s">
        <v>8</v>
      </c>
      <c r="B14" s="541" t="s">
        <v>7</v>
      </c>
      <c r="C14" s="482" t="s">
        <v>239</v>
      </c>
      <c r="D14" s="482" t="s">
        <v>238</v>
      </c>
      <c r="E14" s="327" t="s">
        <v>32</v>
      </c>
      <c r="F14" s="327" t="s">
        <v>45</v>
      </c>
      <c r="G14" s="482" t="s">
        <v>22</v>
      </c>
      <c r="H14" s="483">
        <v>41820</v>
      </c>
      <c r="I14" s="482" t="s">
        <v>132</v>
      </c>
      <c r="J14" s="88">
        <v>19.28</v>
      </c>
      <c r="K14" s="88">
        <v>-9.09</v>
      </c>
      <c r="L14" s="488">
        <v>10.190000000000001</v>
      </c>
      <c r="M14" s="88"/>
      <c r="N14" s="88"/>
      <c r="O14" s="88"/>
    </row>
    <row r="15" spans="1:131" ht="30" x14ac:dyDescent="0.25">
      <c r="A15" s="485" t="s">
        <v>8</v>
      </c>
      <c r="B15" s="485" t="s">
        <v>193</v>
      </c>
      <c r="C15" s="485" t="s">
        <v>239</v>
      </c>
      <c r="D15" s="485" t="s">
        <v>238</v>
      </c>
      <c r="E15" s="485" t="s">
        <v>32</v>
      </c>
      <c r="F15" s="485" t="s">
        <v>45</v>
      </c>
      <c r="G15" s="485" t="s">
        <v>22</v>
      </c>
      <c r="H15" s="385">
        <v>42185</v>
      </c>
      <c r="I15" s="485" t="s">
        <v>133</v>
      </c>
      <c r="J15" s="379">
        <v>13.19</v>
      </c>
      <c r="K15" s="379">
        <v>0</v>
      </c>
      <c r="L15" s="489">
        <v>13.19</v>
      </c>
      <c r="M15" s="379"/>
      <c r="N15" s="379"/>
      <c r="O15" s="379"/>
    </row>
    <row r="16" spans="1:131" ht="30" x14ac:dyDescent="0.25">
      <c r="A16" s="482" t="s">
        <v>8</v>
      </c>
      <c r="B16" s="482" t="s">
        <v>193</v>
      </c>
      <c r="C16" s="482" t="s">
        <v>239</v>
      </c>
      <c r="D16" s="482" t="s">
        <v>238</v>
      </c>
      <c r="E16" s="482" t="s">
        <v>32</v>
      </c>
      <c r="F16" s="482" t="s">
        <v>45</v>
      </c>
      <c r="G16" s="482" t="s">
        <v>22</v>
      </c>
      <c r="H16" s="386">
        <v>42551</v>
      </c>
      <c r="I16" s="482" t="s">
        <v>300</v>
      </c>
      <c r="J16" s="380">
        <v>1.0900000000000001</v>
      </c>
      <c r="K16" s="380">
        <v>0</v>
      </c>
      <c r="L16" s="488">
        <v>1.0900000000000001</v>
      </c>
      <c r="M16" s="380"/>
      <c r="N16" s="380"/>
      <c r="O16" s="380"/>
    </row>
    <row r="17" spans="1:15" ht="30" x14ac:dyDescent="0.25">
      <c r="A17" s="485" t="s">
        <v>8</v>
      </c>
      <c r="B17" s="485" t="s">
        <v>193</v>
      </c>
      <c r="C17" s="485" t="s">
        <v>239</v>
      </c>
      <c r="D17" s="485" t="s">
        <v>238</v>
      </c>
      <c r="E17" s="485" t="s">
        <v>32</v>
      </c>
      <c r="F17" s="485" t="s">
        <v>45</v>
      </c>
      <c r="G17" s="485" t="s">
        <v>22</v>
      </c>
      <c r="H17" s="385">
        <v>42916</v>
      </c>
      <c r="I17" s="485" t="s">
        <v>345</v>
      </c>
      <c r="J17" s="379">
        <v>0</v>
      </c>
      <c r="K17" s="379">
        <v>0</v>
      </c>
      <c r="L17" s="490">
        <v>0</v>
      </c>
      <c r="M17" s="379"/>
      <c r="N17" s="379"/>
      <c r="O17" s="379"/>
    </row>
    <row r="18" spans="1:15" ht="15" x14ac:dyDescent="0.25">
      <c r="A18" s="181"/>
      <c r="B18" s="181"/>
      <c r="C18" s="181"/>
      <c r="D18" s="181"/>
      <c r="E18" s="182"/>
      <c r="F18" s="181"/>
      <c r="G18" s="181"/>
      <c r="H18" s="183" t="s">
        <v>206</v>
      </c>
      <c r="I18" s="181"/>
      <c r="J18" s="354">
        <v>33.56</v>
      </c>
      <c r="K18" s="354">
        <v>-9.09</v>
      </c>
      <c r="L18" s="354">
        <v>24.470000000000002</v>
      </c>
      <c r="M18" s="354">
        <v>23.492471000000002</v>
      </c>
      <c r="N18" s="354">
        <v>0.97752899999999998</v>
      </c>
      <c r="O18" s="354">
        <v>35</v>
      </c>
    </row>
    <row r="19" spans="1:15" ht="15" x14ac:dyDescent="0.25">
      <c r="A19" s="181" t="s">
        <v>295</v>
      </c>
      <c r="B19" s="181"/>
      <c r="C19" s="181"/>
      <c r="D19" s="181"/>
      <c r="E19" s="182"/>
      <c r="F19" s="181"/>
      <c r="G19" s="181"/>
      <c r="H19" s="183"/>
      <c r="I19" s="181"/>
      <c r="J19" s="354"/>
      <c r="K19" s="354"/>
      <c r="L19" s="354"/>
      <c r="M19" s="354"/>
      <c r="N19" s="354"/>
      <c r="O19" s="354"/>
    </row>
    <row r="20" spans="1:15" ht="15" x14ac:dyDescent="0.25">
      <c r="A20" s="184" t="s">
        <v>327</v>
      </c>
      <c r="B20" s="184"/>
      <c r="C20" s="185"/>
      <c r="D20" s="185"/>
      <c r="E20" s="184"/>
      <c r="F20" s="184"/>
      <c r="G20" s="184"/>
      <c r="H20" s="383"/>
      <c r="I20" s="184"/>
      <c r="J20" s="459"/>
      <c r="K20" s="459"/>
      <c r="L20" s="459"/>
      <c r="M20" s="459"/>
      <c r="N20" s="459"/>
      <c r="O20" s="186"/>
    </row>
    <row r="21" spans="1:15" ht="30" x14ac:dyDescent="0.25">
      <c r="A21" s="482" t="s">
        <v>8</v>
      </c>
      <c r="B21" s="482" t="s">
        <v>7</v>
      </c>
      <c r="C21" s="482" t="s">
        <v>27</v>
      </c>
      <c r="D21" s="482" t="s">
        <v>127</v>
      </c>
      <c r="E21" s="327" t="s">
        <v>33</v>
      </c>
      <c r="F21" s="327" t="s">
        <v>45</v>
      </c>
      <c r="G21" s="482" t="s">
        <v>22</v>
      </c>
      <c r="H21" s="483">
        <v>41820</v>
      </c>
      <c r="I21" s="482" t="s">
        <v>138</v>
      </c>
      <c r="J21" s="88">
        <v>0.92112859999999996</v>
      </c>
      <c r="K21" s="88">
        <v>-0.92112859999999996</v>
      </c>
      <c r="L21" s="488">
        <v>0</v>
      </c>
      <c r="M21" s="486"/>
      <c r="N21" s="486"/>
      <c r="O21" s="486"/>
    </row>
    <row r="22" spans="1:15" ht="30" x14ac:dyDescent="0.25">
      <c r="A22" s="482" t="s">
        <v>8</v>
      </c>
      <c r="B22" s="485" t="s">
        <v>7</v>
      </c>
      <c r="C22" s="485" t="s">
        <v>27</v>
      </c>
      <c r="D22" s="485" t="s">
        <v>127</v>
      </c>
      <c r="E22" s="485" t="s">
        <v>33</v>
      </c>
      <c r="F22" s="485" t="s">
        <v>45</v>
      </c>
      <c r="G22" s="485" t="s">
        <v>22</v>
      </c>
      <c r="H22" s="385">
        <v>42185</v>
      </c>
      <c r="I22" s="485" t="s">
        <v>139</v>
      </c>
      <c r="J22" s="379"/>
      <c r="K22" s="379"/>
      <c r="L22" s="489">
        <v>0</v>
      </c>
      <c r="M22" s="484"/>
      <c r="N22" s="484"/>
      <c r="O22" s="484"/>
    </row>
    <row r="23" spans="1:15" ht="30" x14ac:dyDescent="0.25">
      <c r="A23" s="482" t="s">
        <v>8</v>
      </c>
      <c r="B23" s="482" t="s">
        <v>7</v>
      </c>
      <c r="C23" s="482" t="s">
        <v>27</v>
      </c>
      <c r="D23" s="482" t="s">
        <v>127</v>
      </c>
      <c r="E23" s="482" t="s">
        <v>33</v>
      </c>
      <c r="F23" s="482" t="s">
        <v>45</v>
      </c>
      <c r="G23" s="482" t="s">
        <v>22</v>
      </c>
      <c r="H23" s="386">
        <v>42551</v>
      </c>
      <c r="I23" s="482" t="s">
        <v>301</v>
      </c>
      <c r="J23" s="380"/>
      <c r="K23" s="380"/>
      <c r="L23" s="488">
        <v>0</v>
      </c>
      <c r="M23" s="487"/>
      <c r="N23" s="487"/>
      <c r="O23" s="487"/>
    </row>
    <row r="24" spans="1:15" ht="30" x14ac:dyDescent="0.25">
      <c r="A24" s="482" t="s">
        <v>8</v>
      </c>
      <c r="B24" s="485" t="s">
        <v>7</v>
      </c>
      <c r="C24" s="485" t="s">
        <v>27</v>
      </c>
      <c r="D24" s="485" t="s">
        <v>127</v>
      </c>
      <c r="E24" s="485" t="s">
        <v>33</v>
      </c>
      <c r="F24" s="485" t="s">
        <v>45</v>
      </c>
      <c r="G24" s="485" t="s">
        <v>22</v>
      </c>
      <c r="H24" s="385">
        <v>42916</v>
      </c>
      <c r="I24" s="485" t="s">
        <v>346</v>
      </c>
      <c r="J24" s="379"/>
      <c r="K24" s="379"/>
      <c r="L24" s="490">
        <v>0</v>
      </c>
      <c r="M24" s="484"/>
      <c r="N24" s="484"/>
      <c r="O24" s="484"/>
    </row>
    <row r="25" spans="1:15" ht="15" x14ac:dyDescent="0.25">
      <c r="A25" s="181" t="s">
        <v>324</v>
      </c>
      <c r="B25" s="181"/>
      <c r="C25" s="181"/>
      <c r="D25" s="181"/>
      <c r="E25" s="182"/>
      <c r="F25" s="181"/>
      <c r="G25" s="181"/>
      <c r="H25" s="183" t="s">
        <v>206</v>
      </c>
      <c r="I25" s="181"/>
      <c r="J25" s="354">
        <v>0.92112859999999996</v>
      </c>
      <c r="K25" s="354">
        <v>-0.92112859999999996</v>
      </c>
      <c r="L25" s="354">
        <v>0</v>
      </c>
      <c r="M25" s="354">
        <v>1.7952399999999875E-4</v>
      </c>
      <c r="N25" s="354">
        <v>-1.7952399999999875E-4</v>
      </c>
      <c r="O25" s="354"/>
    </row>
    <row r="26" spans="1:15" ht="15" x14ac:dyDescent="0.25">
      <c r="A26" s="181"/>
      <c r="B26" s="181"/>
      <c r="C26" s="181"/>
      <c r="D26" s="181"/>
      <c r="E26" s="182"/>
      <c r="F26" s="181"/>
      <c r="G26" s="181"/>
      <c r="H26" s="183"/>
      <c r="I26" s="181"/>
      <c r="J26" s="354"/>
      <c r="K26" s="354"/>
      <c r="L26" s="354"/>
      <c r="M26" s="354"/>
      <c r="N26" s="354"/>
      <c r="O26" s="354"/>
    </row>
    <row r="27" spans="1:15" ht="15" x14ac:dyDescent="0.25">
      <c r="A27" s="184" t="s">
        <v>328</v>
      </c>
      <c r="B27" s="184"/>
      <c r="C27" s="185"/>
      <c r="D27" s="185"/>
      <c r="E27" s="184"/>
      <c r="F27" s="184"/>
      <c r="G27" s="184"/>
      <c r="H27" s="383"/>
      <c r="I27" s="184"/>
      <c r="J27" s="459"/>
      <c r="K27" s="459"/>
      <c r="L27" s="459"/>
      <c r="M27" s="459"/>
      <c r="N27" s="459"/>
      <c r="O27" s="186"/>
    </row>
    <row r="28" spans="1:15" ht="30" x14ac:dyDescent="0.25">
      <c r="A28" s="482" t="s">
        <v>8</v>
      </c>
      <c r="B28" s="482" t="s">
        <v>7</v>
      </c>
      <c r="C28" s="482" t="s">
        <v>92</v>
      </c>
      <c r="D28" s="482" t="s">
        <v>128</v>
      </c>
      <c r="E28" s="327" t="s">
        <v>33</v>
      </c>
      <c r="F28" s="327" t="s">
        <v>45</v>
      </c>
      <c r="G28" s="482" t="s">
        <v>22</v>
      </c>
      <c r="H28" s="483">
        <v>41820</v>
      </c>
      <c r="I28" s="482" t="s">
        <v>138</v>
      </c>
      <c r="J28" s="88">
        <v>3.32167952</v>
      </c>
      <c r="K28" s="88">
        <v>-1.68845552</v>
      </c>
      <c r="L28" s="488">
        <v>1.633224</v>
      </c>
      <c r="M28" s="379"/>
      <c r="N28" s="379"/>
      <c r="O28" s="379"/>
    </row>
    <row r="29" spans="1:15" ht="30" x14ac:dyDescent="0.25">
      <c r="A29" s="485" t="s">
        <v>8</v>
      </c>
      <c r="B29" s="485" t="s">
        <v>7</v>
      </c>
      <c r="C29" s="485" t="s">
        <v>92</v>
      </c>
      <c r="D29" s="485" t="s">
        <v>128</v>
      </c>
      <c r="E29" s="485" t="s">
        <v>33</v>
      </c>
      <c r="F29" s="485" t="s">
        <v>45</v>
      </c>
      <c r="G29" s="485" t="s">
        <v>22</v>
      </c>
      <c r="H29" s="385">
        <v>42185</v>
      </c>
      <c r="I29" s="485" t="s">
        <v>139</v>
      </c>
      <c r="J29" s="379">
        <v>1.5495680000000001</v>
      </c>
      <c r="K29" s="379">
        <v>0</v>
      </c>
      <c r="L29" s="489">
        <v>1.5495680000000001</v>
      </c>
      <c r="M29" s="380"/>
      <c r="N29" s="380"/>
      <c r="O29" s="380"/>
    </row>
    <row r="30" spans="1:15" ht="30" x14ac:dyDescent="0.25">
      <c r="A30" s="482" t="s">
        <v>8</v>
      </c>
      <c r="B30" s="482" t="s">
        <v>7</v>
      </c>
      <c r="C30" s="482" t="s">
        <v>92</v>
      </c>
      <c r="D30" s="482" t="s">
        <v>128</v>
      </c>
      <c r="E30" s="482" t="s">
        <v>33</v>
      </c>
      <c r="F30" s="482" t="s">
        <v>45</v>
      </c>
      <c r="G30" s="482" t="s">
        <v>22</v>
      </c>
      <c r="H30" s="386">
        <v>42551</v>
      </c>
      <c r="I30" s="482" t="s">
        <v>301</v>
      </c>
      <c r="J30" s="380">
        <v>0.72236800000000001</v>
      </c>
      <c r="K30" s="380">
        <v>0</v>
      </c>
      <c r="L30" s="488">
        <v>0.72236800000000001</v>
      </c>
      <c r="M30" s="379"/>
      <c r="N30" s="379"/>
      <c r="O30" s="379"/>
    </row>
    <row r="31" spans="1:15" ht="30" x14ac:dyDescent="0.25">
      <c r="A31" s="485" t="s">
        <v>8</v>
      </c>
      <c r="B31" s="485" t="s">
        <v>7</v>
      </c>
      <c r="C31" s="485" t="s">
        <v>92</v>
      </c>
      <c r="D31" s="485" t="s">
        <v>128</v>
      </c>
      <c r="E31" s="485" t="s">
        <v>33</v>
      </c>
      <c r="F31" s="485" t="s">
        <v>45</v>
      </c>
      <c r="G31" s="485" t="s">
        <v>22</v>
      </c>
      <c r="H31" s="385">
        <v>42916</v>
      </c>
      <c r="I31" s="485" t="s">
        <v>346</v>
      </c>
      <c r="J31" s="379">
        <v>0</v>
      </c>
      <c r="K31" s="379">
        <v>0</v>
      </c>
      <c r="L31" s="490">
        <v>0</v>
      </c>
      <c r="M31" s="380"/>
      <c r="N31" s="380"/>
      <c r="O31" s="380"/>
    </row>
    <row r="32" spans="1:15" ht="15" x14ac:dyDescent="0.25">
      <c r="A32" s="181" t="s">
        <v>325</v>
      </c>
      <c r="B32" s="181"/>
      <c r="C32" s="181"/>
      <c r="D32" s="181"/>
      <c r="E32" s="182"/>
      <c r="F32" s="181"/>
      <c r="G32" s="181"/>
      <c r="H32" s="183" t="s">
        <v>206</v>
      </c>
      <c r="I32" s="181"/>
      <c r="J32" s="354">
        <v>5.5936155200000002</v>
      </c>
      <c r="K32" s="354">
        <v>-1.68845552</v>
      </c>
      <c r="L32" s="354">
        <v>3.90516</v>
      </c>
      <c r="M32" s="354">
        <v>4.0484025600000004</v>
      </c>
      <c r="N32" s="354">
        <v>-0.14324256000000013</v>
      </c>
      <c r="O32" s="354"/>
    </row>
    <row r="33" spans="1:15" ht="30" x14ac:dyDescent="0.25">
      <c r="A33" s="181" t="s">
        <v>331</v>
      </c>
      <c r="B33" s="181"/>
      <c r="C33" s="181"/>
      <c r="D33" s="181"/>
      <c r="E33" s="182"/>
      <c r="F33" s="181"/>
      <c r="G33" s="181"/>
      <c r="H33" s="183"/>
      <c r="I33" s="181"/>
      <c r="J33" s="354">
        <f>J32 + J25</f>
        <v>6.5147441200000005</v>
      </c>
      <c r="K33" s="354">
        <f>K32 + K25</f>
        <v>-2.6095841200000001</v>
      </c>
      <c r="L33" s="354">
        <f>L32 + L25</f>
        <v>3.90516</v>
      </c>
      <c r="M33" s="354">
        <f>M32 + M25</f>
        <v>4.0485820840000004</v>
      </c>
      <c r="N33" s="354">
        <f>IF(AND(N32&gt;0, N25&gt;0),N32 + N25,IF(AND(N32&gt;0, N25&lt;=0),N32,IF(AND(N32&lt;0, N25&gt;=0), N25,0)))</f>
        <v>0</v>
      </c>
      <c r="O33" s="354"/>
    </row>
    <row r="34" spans="1:15" ht="15" x14ac:dyDescent="0.25">
      <c r="A34" s="184" t="s">
        <v>298</v>
      </c>
      <c r="B34" s="184"/>
      <c r="C34" s="185"/>
      <c r="D34" s="185"/>
      <c r="E34" s="184"/>
      <c r="F34" s="184"/>
      <c r="G34" s="184"/>
      <c r="H34" s="383"/>
      <c r="I34" s="184"/>
      <c r="J34" s="403"/>
      <c r="K34" s="403"/>
      <c r="L34" s="403"/>
      <c r="M34" s="403"/>
      <c r="N34" s="403"/>
      <c r="O34" s="404"/>
    </row>
    <row r="35" spans="1:15" ht="15" x14ac:dyDescent="0.25">
      <c r="A35" s="901" t="s">
        <v>325</v>
      </c>
      <c r="B35" s="902"/>
      <c r="C35" s="902"/>
      <c r="D35" s="902"/>
      <c r="E35" s="902"/>
      <c r="F35" s="902"/>
      <c r="G35" s="902"/>
      <c r="H35" s="902"/>
      <c r="I35" s="902"/>
      <c r="J35" s="902"/>
      <c r="K35" s="902"/>
      <c r="L35" s="902"/>
      <c r="M35" s="902"/>
      <c r="N35" s="902"/>
      <c r="O35" s="903"/>
    </row>
    <row r="36" spans="1:15" ht="60" x14ac:dyDescent="0.25">
      <c r="A36" s="176" t="s">
        <v>89</v>
      </c>
      <c r="B36" s="176" t="s">
        <v>90</v>
      </c>
      <c r="C36" s="177" t="s">
        <v>0</v>
      </c>
      <c r="D36" s="177" t="s">
        <v>124</v>
      </c>
      <c r="E36" s="176" t="s">
        <v>143</v>
      </c>
      <c r="F36" s="176" t="s">
        <v>144</v>
      </c>
      <c r="G36" s="176" t="s">
        <v>13</v>
      </c>
      <c r="H36" s="382" t="s">
        <v>88</v>
      </c>
      <c r="I36" s="176" t="s">
        <v>12</v>
      </c>
      <c r="J36" s="400" t="s">
        <v>200</v>
      </c>
      <c r="K36" s="400" t="s">
        <v>199</v>
      </c>
      <c r="L36" s="400" t="s">
        <v>201</v>
      </c>
      <c r="M36" s="400" t="s">
        <v>149</v>
      </c>
      <c r="N36" s="400" t="s">
        <v>179</v>
      </c>
      <c r="O36" s="400" t="s">
        <v>304</v>
      </c>
    </row>
    <row r="37" spans="1:15" ht="30" x14ac:dyDescent="0.25">
      <c r="A37" s="485" t="s">
        <v>84</v>
      </c>
      <c r="B37" s="485" t="s">
        <v>9</v>
      </c>
      <c r="C37" s="485" t="s">
        <v>183</v>
      </c>
      <c r="D37" s="485" t="s">
        <v>142</v>
      </c>
      <c r="E37" s="329" t="s">
        <v>142</v>
      </c>
      <c r="F37" s="485" t="s">
        <v>142</v>
      </c>
      <c r="G37" s="485" t="s">
        <v>22</v>
      </c>
      <c r="H37" s="93">
        <v>41449</v>
      </c>
      <c r="I37" s="485" t="s">
        <v>172</v>
      </c>
      <c r="J37" s="96">
        <v>7.0349999999999996E-2</v>
      </c>
      <c r="K37" s="96" t="s">
        <v>299</v>
      </c>
      <c r="L37" s="292">
        <v>7.0349999999999996E-2</v>
      </c>
      <c r="M37" s="292">
        <f>+O37*50000/1000000</f>
        <v>6.6104999999999997E-2</v>
      </c>
      <c r="N37" s="292">
        <f>M37-L37</f>
        <v>-4.2449999999999988E-3</v>
      </c>
      <c r="O37" s="486">
        <v>1.3221000000000001</v>
      </c>
    </row>
    <row r="38" spans="1:15" ht="30" x14ac:dyDescent="0.25">
      <c r="A38" s="111" t="s">
        <v>297</v>
      </c>
      <c r="B38" s="99"/>
      <c r="C38" s="2"/>
      <c r="D38" s="2"/>
      <c r="E38" s="2"/>
      <c r="F38" s="2"/>
      <c r="G38" s="2"/>
      <c r="H38" s="3"/>
      <c r="I38" s="2"/>
      <c r="J38" s="293"/>
      <c r="K38" s="293"/>
      <c r="L38" s="491">
        <f>L37</f>
        <v>7.0349999999999996E-2</v>
      </c>
      <c r="M38" s="144"/>
      <c r="N38" s="491">
        <f>IF(N37&gt;0,N37,0)</f>
        <v>0</v>
      </c>
      <c r="O38" s="144"/>
    </row>
    <row r="39" spans="1:15" ht="15" x14ac:dyDescent="0.25">
      <c r="A39" s="99"/>
      <c r="B39" s="99"/>
      <c r="C39" s="99"/>
      <c r="D39" s="99"/>
      <c r="E39" s="99"/>
      <c r="F39" s="99"/>
      <c r="G39" s="99"/>
      <c r="H39" s="388"/>
      <c r="I39" s="99"/>
      <c r="J39" s="144"/>
      <c r="K39" s="144"/>
      <c r="L39" s="144"/>
      <c r="M39" s="144"/>
      <c r="N39" s="144"/>
      <c r="O39" s="144"/>
    </row>
    <row r="40" spans="1:15" ht="15" x14ac:dyDescent="0.25">
      <c r="A40" s="99"/>
      <c r="B40" s="99"/>
      <c r="C40" s="99"/>
      <c r="D40" s="99"/>
      <c r="E40" s="99"/>
      <c r="F40" s="99"/>
      <c r="G40" s="99"/>
      <c r="H40" s="388"/>
      <c r="I40" s="99"/>
      <c r="J40" s="77"/>
      <c r="K40" s="144"/>
      <c r="L40" s="144"/>
      <c r="M40" s="77"/>
      <c r="N40" s="77"/>
      <c r="O40" s="77"/>
    </row>
    <row r="41" spans="1:15" ht="15" x14ac:dyDescent="0.25">
      <c r="A41" s="99"/>
      <c r="B41" s="99"/>
      <c r="C41" s="99"/>
      <c r="D41" s="99"/>
      <c r="E41" s="99"/>
      <c r="F41" s="99"/>
      <c r="G41" s="99"/>
      <c r="H41" s="388"/>
      <c r="I41" s="99"/>
      <c r="J41" s="77"/>
      <c r="K41" s="77"/>
      <c r="L41" s="77"/>
      <c r="M41" s="77"/>
      <c r="N41" s="77"/>
      <c r="O41" s="77"/>
    </row>
    <row r="42" spans="1:15" ht="15" x14ac:dyDescent="0.25">
      <c r="A42" s="99"/>
      <c r="B42" s="99"/>
      <c r="C42" s="99"/>
      <c r="D42" s="99"/>
      <c r="E42" s="99"/>
      <c r="F42" s="99"/>
      <c r="G42" s="99"/>
      <c r="H42" s="388"/>
      <c r="I42" s="99"/>
      <c r="J42" s="77"/>
      <c r="K42" s="77"/>
      <c r="L42" s="77"/>
      <c r="M42" s="77"/>
      <c r="N42" s="77"/>
      <c r="O42" s="77"/>
    </row>
    <row r="43" spans="1:15" ht="15" x14ac:dyDescent="0.25">
      <c r="A43" s="99"/>
      <c r="B43" s="99"/>
      <c r="C43" s="99"/>
      <c r="D43" s="99"/>
      <c r="E43" s="99"/>
      <c r="F43" s="99"/>
      <c r="G43" s="99"/>
      <c r="H43" s="388"/>
      <c r="I43" s="99"/>
      <c r="J43" s="77"/>
      <c r="K43" s="77"/>
      <c r="L43" s="77"/>
      <c r="M43" s="77"/>
      <c r="N43" s="77"/>
      <c r="O43" s="77"/>
    </row>
    <row r="44" spans="1:15" ht="15" x14ac:dyDescent="0.25">
      <c r="A44" s="99"/>
      <c r="B44" s="99"/>
      <c r="C44" s="99"/>
      <c r="D44" s="99"/>
      <c r="E44" s="99"/>
      <c r="F44" s="99"/>
      <c r="G44" s="99"/>
      <c r="H44" s="388"/>
      <c r="I44" s="99"/>
      <c r="J44" s="77"/>
      <c r="K44" s="77"/>
      <c r="L44" s="77"/>
      <c r="M44" s="77"/>
      <c r="N44" s="77"/>
      <c r="O44" s="77"/>
    </row>
    <row r="45" spans="1:15" ht="15" x14ac:dyDescent="0.25">
      <c r="A45" s="99"/>
      <c r="B45" s="99"/>
      <c r="C45" s="99"/>
      <c r="D45" s="99"/>
      <c r="E45" s="99"/>
      <c r="F45" s="99"/>
      <c r="G45" s="99"/>
      <c r="H45" s="388"/>
      <c r="I45" s="99"/>
      <c r="J45" s="77"/>
      <c r="K45" s="77"/>
      <c r="L45" s="77"/>
      <c r="M45" s="77"/>
      <c r="N45" s="77"/>
      <c r="O45" s="77"/>
    </row>
    <row r="46" spans="1:15" ht="15" x14ac:dyDescent="0.25">
      <c r="A46" s="99"/>
      <c r="B46" s="99"/>
      <c r="C46" s="99"/>
      <c r="D46" s="99"/>
      <c r="E46" s="99"/>
      <c r="F46" s="99"/>
      <c r="G46" s="99"/>
      <c r="H46" s="388"/>
      <c r="I46" s="99"/>
      <c r="J46" s="77"/>
      <c r="K46" s="77"/>
      <c r="L46" s="77"/>
      <c r="M46" s="77"/>
      <c r="N46" s="77"/>
      <c r="O46" s="77"/>
    </row>
    <row r="47" spans="1:15" ht="15.6" thickBot="1" x14ac:dyDescent="0.3">
      <c r="A47" s="904"/>
      <c r="B47" s="904"/>
      <c r="C47" s="904"/>
      <c r="D47" s="904"/>
      <c r="E47" s="904"/>
      <c r="F47" s="904"/>
      <c r="G47" s="904"/>
      <c r="H47" s="904"/>
      <c r="I47" s="904"/>
      <c r="J47" s="904"/>
      <c r="K47" s="904"/>
      <c r="L47" s="904"/>
      <c r="M47" s="904"/>
      <c r="N47" s="904"/>
      <c r="O47" s="904"/>
    </row>
    <row r="48" spans="1:15" ht="15.6" x14ac:dyDescent="0.3">
      <c r="A48" s="905"/>
      <c r="B48" s="905"/>
      <c r="C48" s="905"/>
      <c r="D48" s="905"/>
      <c r="E48" s="905"/>
      <c r="F48" s="905"/>
      <c r="G48" s="99"/>
      <c r="H48" s="388"/>
      <c r="I48" s="99"/>
      <c r="J48" s="77"/>
      <c r="K48" s="77"/>
      <c r="L48" s="77"/>
      <c r="M48" s="77"/>
      <c r="N48" s="77"/>
      <c r="O48" s="77"/>
    </row>
    <row r="49" spans="1:15" ht="15.6" x14ac:dyDescent="0.3">
      <c r="A49" s="202"/>
      <c r="B49" s="203"/>
      <c r="C49" s="203"/>
      <c r="D49" s="202"/>
      <c r="E49" s="202"/>
      <c r="F49" s="202"/>
      <c r="G49" s="99"/>
      <c r="H49" s="384"/>
      <c r="I49" s="99"/>
      <c r="J49" s="77"/>
      <c r="K49" s="77"/>
      <c r="L49" s="77"/>
      <c r="M49" s="77"/>
      <c r="N49" s="77"/>
      <c r="O49" s="77"/>
    </row>
    <row r="50" spans="1:15" ht="15" x14ac:dyDescent="0.25">
      <c r="A50" s="391"/>
      <c r="B50" s="391"/>
      <c r="C50" s="391"/>
      <c r="D50" s="391"/>
      <c r="E50" s="391"/>
      <c r="F50" s="391"/>
      <c r="G50" s="99"/>
      <c r="H50" s="388"/>
      <c r="I50" s="99"/>
      <c r="J50" s="77"/>
      <c r="K50" s="77"/>
      <c r="L50" s="77"/>
      <c r="M50" s="77"/>
      <c r="N50" s="77"/>
      <c r="O50" s="77"/>
    </row>
    <row r="51" spans="1:15" ht="15" x14ac:dyDescent="0.25">
      <c r="A51" s="395"/>
      <c r="B51" s="392"/>
      <c r="C51" s="392"/>
      <c r="D51" s="392"/>
      <c r="E51" s="392"/>
      <c r="F51" s="205"/>
      <c r="G51" s="99"/>
      <c r="H51" s="388"/>
      <c r="I51" s="99"/>
      <c r="J51" s="77"/>
      <c r="K51" s="77"/>
      <c r="L51" s="77"/>
      <c r="M51" s="77"/>
      <c r="N51" s="77"/>
      <c r="O51" s="77"/>
    </row>
    <row r="52" spans="1:15" ht="15" x14ac:dyDescent="0.25">
      <c r="A52" s="395"/>
      <c r="B52" s="392"/>
      <c r="C52" s="392"/>
      <c r="D52" s="392"/>
      <c r="E52" s="392"/>
      <c r="F52" s="205"/>
      <c r="G52" s="99"/>
      <c r="H52" s="388"/>
      <c r="I52" s="99"/>
      <c r="J52" s="77"/>
      <c r="K52" s="77"/>
      <c r="L52" s="77"/>
      <c r="M52" s="77"/>
      <c r="N52" s="77"/>
      <c r="O52" s="77"/>
    </row>
    <row r="53" spans="1:15" ht="15" x14ac:dyDescent="0.25">
      <c r="A53" s="391"/>
      <c r="B53" s="392"/>
      <c r="C53" s="392"/>
      <c r="D53" s="392"/>
      <c r="E53" s="392"/>
      <c r="F53" s="205"/>
      <c r="G53" s="99"/>
      <c r="H53" s="388"/>
      <c r="I53" s="99"/>
      <c r="J53" s="77"/>
      <c r="K53" s="77"/>
      <c r="L53" s="77"/>
      <c r="M53" s="77"/>
      <c r="N53" s="77"/>
      <c r="O53" s="77"/>
    </row>
    <row r="54" spans="1:15" ht="15" x14ac:dyDescent="0.25">
      <c r="A54" s="395"/>
      <c r="B54" s="392"/>
      <c r="C54" s="392"/>
      <c r="D54" s="392"/>
      <c r="E54" s="392"/>
      <c r="F54" s="205"/>
      <c r="G54" s="99"/>
      <c r="H54" s="388"/>
      <c r="I54" s="99"/>
      <c r="J54" s="77"/>
      <c r="K54" s="77"/>
      <c r="L54" s="77"/>
      <c r="M54" s="77"/>
      <c r="N54" s="77"/>
      <c r="O54" s="77"/>
    </row>
    <row r="55" spans="1:15" ht="15" x14ac:dyDescent="0.25">
      <c r="A55" s="391"/>
      <c r="B55" s="392"/>
      <c r="C55" s="392"/>
      <c r="D55" s="392"/>
      <c r="E55" s="392"/>
      <c r="F55" s="205"/>
      <c r="G55" s="99"/>
      <c r="H55" s="388"/>
      <c r="I55" s="99"/>
      <c r="J55" s="77"/>
      <c r="K55" s="77"/>
      <c r="L55" s="77"/>
      <c r="M55" s="77"/>
      <c r="N55" s="77"/>
      <c r="O55" s="77"/>
    </row>
    <row r="56" spans="1:15" ht="15" x14ac:dyDescent="0.25">
      <c r="A56" s="391"/>
      <c r="B56" s="392"/>
      <c r="C56" s="392"/>
      <c r="D56" s="392"/>
      <c r="E56" s="392"/>
      <c r="F56" s="205"/>
      <c r="G56" s="99"/>
      <c r="H56" s="388"/>
      <c r="I56" s="99"/>
      <c r="J56" s="77"/>
      <c r="K56" s="77"/>
      <c r="L56" s="77"/>
      <c r="M56" s="77"/>
      <c r="N56" s="77"/>
      <c r="O56" s="77"/>
    </row>
    <row r="57" spans="1:15" ht="16.8" x14ac:dyDescent="0.4">
      <c r="A57" s="391"/>
      <c r="B57" s="393"/>
      <c r="C57" s="393"/>
      <c r="D57" s="393"/>
      <c r="E57" s="393"/>
      <c r="F57" s="207"/>
      <c r="G57" s="99"/>
      <c r="H57" s="389"/>
      <c r="I57" s="99"/>
      <c r="J57" s="77"/>
      <c r="K57" s="77"/>
      <c r="L57" s="77"/>
      <c r="M57" s="77"/>
      <c r="N57" s="77"/>
      <c r="O57" s="77"/>
    </row>
    <row r="58" spans="1:15" ht="16.8" x14ac:dyDescent="0.4">
      <c r="A58" s="391"/>
      <c r="B58" s="394"/>
      <c r="C58" s="394"/>
      <c r="D58" s="394"/>
      <c r="E58" s="394"/>
      <c r="F58" s="210"/>
      <c r="G58" s="99"/>
      <c r="H58" s="390"/>
      <c r="I58" s="99"/>
      <c r="J58" s="77"/>
      <c r="K58" s="77"/>
      <c r="L58" s="77"/>
      <c r="M58" s="77"/>
      <c r="N58" s="77"/>
      <c r="O58" s="77"/>
    </row>
    <row r="59" spans="1:15" ht="15" x14ac:dyDescent="0.25">
      <c r="A59" s="391"/>
      <c r="B59" s="391"/>
      <c r="C59" s="391"/>
      <c r="D59" s="391"/>
      <c r="E59" s="391"/>
      <c r="F59" s="391"/>
      <c r="G59" s="99"/>
      <c r="H59" s="388"/>
      <c r="I59" s="99"/>
      <c r="J59" s="77"/>
      <c r="K59" s="77"/>
      <c r="L59" s="77"/>
      <c r="M59" s="77"/>
      <c r="N59" s="77"/>
      <c r="O59" s="77"/>
    </row>
    <row r="60" spans="1:15" ht="15" x14ac:dyDescent="0.25">
      <c r="A60" s="99"/>
      <c r="B60" s="99"/>
      <c r="C60" s="99"/>
      <c r="D60" s="99"/>
      <c r="E60" s="99"/>
      <c r="F60" s="99"/>
      <c r="G60" s="99"/>
      <c r="H60" s="388"/>
      <c r="I60" s="99"/>
      <c r="J60" s="77"/>
      <c r="K60" s="77"/>
      <c r="L60" s="77"/>
      <c r="M60" s="77"/>
      <c r="N60" s="77"/>
      <c r="O60" s="77"/>
    </row>
    <row r="61" spans="1:15" ht="15" x14ac:dyDescent="0.25">
      <c r="A61" s="99"/>
      <c r="B61" s="99"/>
      <c r="C61" s="99"/>
      <c r="D61" s="99"/>
      <c r="E61" s="99"/>
      <c r="F61" s="99"/>
      <c r="G61" s="99"/>
      <c r="H61" s="388"/>
      <c r="I61" s="99"/>
      <c r="J61" s="77"/>
      <c r="K61" s="77"/>
      <c r="L61" s="77"/>
      <c r="M61" s="77"/>
      <c r="N61" s="77"/>
      <c r="O61" s="77"/>
    </row>
    <row r="62" spans="1:15" ht="15" x14ac:dyDescent="0.25">
      <c r="A62" s="99"/>
      <c r="B62" s="99"/>
      <c r="C62" s="99"/>
      <c r="D62" s="99"/>
      <c r="E62" s="99"/>
      <c r="F62" s="99"/>
      <c r="G62" s="99"/>
      <c r="H62" s="388"/>
      <c r="I62" s="99"/>
      <c r="J62" s="77"/>
      <c r="K62" s="77"/>
      <c r="L62" s="77"/>
      <c r="M62" s="77"/>
      <c r="N62" s="77"/>
      <c r="O62" s="77"/>
    </row>
    <row r="63" spans="1:15" ht="15" x14ac:dyDescent="0.25">
      <c r="A63" s="99"/>
      <c r="B63" s="99"/>
      <c r="C63" s="99"/>
      <c r="D63" s="99"/>
      <c r="E63" s="99"/>
      <c r="F63" s="99"/>
      <c r="G63" s="99"/>
      <c r="H63" s="388"/>
      <c r="I63" s="99"/>
      <c r="J63" s="77"/>
      <c r="K63" s="77"/>
      <c r="L63" s="77"/>
      <c r="M63" s="77"/>
      <c r="N63" s="77"/>
      <c r="O63" s="77"/>
    </row>
    <row r="64" spans="1:15" ht="15" x14ac:dyDescent="0.25">
      <c r="A64" s="99"/>
      <c r="B64" s="99"/>
      <c r="C64" s="99"/>
      <c r="D64" s="99"/>
      <c r="E64" s="99"/>
      <c r="F64" s="99"/>
      <c r="G64" s="99"/>
      <c r="H64" s="388"/>
      <c r="I64" s="99"/>
      <c r="J64" s="77"/>
      <c r="K64" s="77"/>
      <c r="L64" s="77"/>
      <c r="M64" s="77"/>
      <c r="N64" s="77"/>
      <c r="O64" s="77"/>
    </row>
    <row r="65" spans="1:15" ht="15" x14ac:dyDescent="0.25">
      <c r="A65" s="99"/>
      <c r="B65" s="99"/>
      <c r="C65" s="99"/>
      <c r="D65" s="99"/>
      <c r="E65" s="99"/>
      <c r="F65" s="99"/>
      <c r="G65" s="99"/>
      <c r="H65" s="388"/>
      <c r="I65" s="99"/>
      <c r="J65" s="77"/>
      <c r="K65" s="77"/>
      <c r="L65" s="77"/>
      <c r="M65" s="77"/>
      <c r="N65" s="77"/>
      <c r="O65" s="77"/>
    </row>
    <row r="66" spans="1:15" ht="15" x14ac:dyDescent="0.25">
      <c r="A66" s="99"/>
      <c r="B66" s="99"/>
      <c r="C66" s="99"/>
      <c r="D66" s="99"/>
      <c r="E66" s="99"/>
      <c r="F66" s="99"/>
      <c r="G66" s="99"/>
      <c r="H66" s="388"/>
      <c r="I66" s="99"/>
      <c r="J66" s="77"/>
      <c r="K66" s="77"/>
      <c r="L66" s="77"/>
      <c r="M66" s="77"/>
      <c r="N66" s="77"/>
      <c r="O66" s="77"/>
    </row>
    <row r="67" spans="1:15" ht="15" x14ac:dyDescent="0.25">
      <c r="A67" s="99"/>
      <c r="B67" s="99"/>
      <c r="C67" s="99"/>
      <c r="D67" s="99"/>
      <c r="E67" s="99"/>
      <c r="F67" s="99"/>
      <c r="G67" s="99"/>
      <c r="H67" s="388"/>
      <c r="I67" s="99"/>
      <c r="J67" s="77"/>
      <c r="K67" s="77"/>
      <c r="L67" s="77"/>
      <c r="M67" s="77"/>
      <c r="N67" s="77"/>
      <c r="O67" s="77"/>
    </row>
    <row r="68" spans="1:15" ht="15" x14ac:dyDescent="0.25">
      <c r="A68" s="99"/>
      <c r="B68" s="99"/>
      <c r="C68" s="99"/>
      <c r="D68" s="99"/>
      <c r="E68" s="99"/>
      <c r="F68" s="99"/>
      <c r="G68" s="99"/>
      <c r="H68" s="388"/>
      <c r="I68" s="99"/>
      <c r="J68" s="77"/>
      <c r="K68" s="77"/>
      <c r="L68" s="77"/>
      <c r="M68" s="77"/>
      <c r="N68" s="77"/>
      <c r="O68" s="77"/>
    </row>
    <row r="69" spans="1:15" ht="15" x14ac:dyDescent="0.25">
      <c r="A69" s="99"/>
      <c r="B69" s="99"/>
      <c r="C69" s="99"/>
      <c r="D69" s="99"/>
      <c r="E69" s="99"/>
      <c r="F69" s="99"/>
      <c r="G69" s="99"/>
      <c r="H69" s="388"/>
      <c r="I69" s="99"/>
      <c r="J69" s="77"/>
      <c r="K69" s="77"/>
      <c r="L69" s="77"/>
      <c r="M69" s="77"/>
      <c r="N69" s="77"/>
      <c r="O69" s="77"/>
    </row>
    <row r="70" spans="1:15" ht="15" x14ac:dyDescent="0.25">
      <c r="A70" s="99"/>
      <c r="B70" s="99"/>
      <c r="C70" s="99"/>
      <c r="D70" s="99"/>
      <c r="E70" s="99"/>
      <c r="F70" s="99"/>
      <c r="G70" s="99"/>
      <c r="H70" s="388"/>
      <c r="I70" s="99"/>
      <c r="J70" s="77"/>
      <c r="K70" s="77"/>
      <c r="L70" s="77"/>
      <c r="M70" s="77"/>
      <c r="N70" s="77"/>
      <c r="O70" s="77"/>
    </row>
    <row r="71" spans="1:15" ht="15" x14ac:dyDescent="0.25">
      <c r="A71" s="99"/>
      <c r="B71" s="99"/>
      <c r="C71" s="99"/>
      <c r="D71" s="99"/>
      <c r="E71" s="99"/>
      <c r="F71" s="99"/>
      <c r="G71" s="99"/>
      <c r="H71" s="388"/>
      <c r="I71" s="99"/>
      <c r="J71" s="77"/>
      <c r="K71" s="77"/>
      <c r="L71" s="77"/>
      <c r="M71" s="77"/>
      <c r="N71" s="77"/>
      <c r="O71" s="77"/>
    </row>
    <row r="72" spans="1:15" ht="15" x14ac:dyDescent="0.25">
      <c r="A72" s="99"/>
      <c r="B72" s="99"/>
      <c r="C72" s="99"/>
      <c r="D72" s="99"/>
      <c r="E72" s="99"/>
      <c r="F72" s="99"/>
      <c r="G72" s="99"/>
      <c r="H72" s="388"/>
      <c r="I72" s="99"/>
      <c r="J72" s="77"/>
      <c r="K72" s="77"/>
      <c r="L72" s="77"/>
      <c r="M72" s="77"/>
      <c r="N72" s="77"/>
      <c r="O72" s="77"/>
    </row>
    <row r="73" spans="1:15" ht="15" x14ac:dyDescent="0.25">
      <c r="A73" s="99"/>
      <c r="B73" s="99"/>
      <c r="C73" s="99"/>
      <c r="D73" s="99"/>
      <c r="E73" s="99"/>
      <c r="F73" s="99"/>
      <c r="G73" s="99"/>
      <c r="H73" s="388"/>
      <c r="I73" s="99"/>
      <c r="J73" s="77"/>
      <c r="K73" s="77"/>
      <c r="L73" s="77"/>
      <c r="M73" s="77"/>
      <c r="N73" s="77"/>
      <c r="O73" s="77"/>
    </row>
    <row r="74" spans="1:15" ht="15" x14ac:dyDescent="0.25">
      <c r="A74" s="99"/>
      <c r="B74" s="99"/>
      <c r="C74" s="99"/>
      <c r="D74" s="99"/>
      <c r="E74" s="99"/>
      <c r="F74" s="99"/>
      <c r="G74" s="99"/>
      <c r="H74" s="388"/>
      <c r="I74" s="99"/>
      <c r="J74" s="77"/>
      <c r="K74" s="77"/>
      <c r="L74" s="77"/>
      <c r="M74" s="77"/>
      <c r="N74" s="77"/>
      <c r="O74" s="77"/>
    </row>
    <row r="75" spans="1:15" ht="15" x14ac:dyDescent="0.25">
      <c r="A75" s="99"/>
      <c r="B75" s="99"/>
      <c r="C75" s="99"/>
      <c r="D75" s="99"/>
      <c r="E75" s="99"/>
      <c r="F75" s="99"/>
      <c r="G75" s="99"/>
      <c r="H75" s="388"/>
      <c r="I75" s="99"/>
      <c r="J75" s="77"/>
      <c r="K75" s="77"/>
      <c r="L75" s="77"/>
      <c r="M75" s="77"/>
      <c r="N75" s="77"/>
      <c r="O75" s="77"/>
    </row>
    <row r="76" spans="1:15" ht="15" x14ac:dyDescent="0.25">
      <c r="A76" s="99"/>
      <c r="B76" s="99"/>
      <c r="C76" s="99"/>
      <c r="D76" s="99"/>
      <c r="E76" s="99"/>
      <c r="F76" s="99"/>
      <c r="G76" s="99"/>
      <c r="H76" s="388"/>
      <c r="I76" s="99"/>
      <c r="J76" s="77"/>
      <c r="K76" s="77"/>
      <c r="L76" s="77"/>
      <c r="M76" s="77"/>
      <c r="N76" s="77"/>
      <c r="O76" s="77"/>
    </row>
    <row r="77" spans="1:15" ht="15" x14ac:dyDescent="0.25">
      <c r="A77" s="99"/>
      <c r="B77" s="99"/>
      <c r="C77" s="99"/>
      <c r="D77" s="99"/>
      <c r="E77" s="99"/>
      <c r="F77" s="99"/>
      <c r="G77" s="99"/>
      <c r="H77" s="388"/>
      <c r="I77" s="99"/>
      <c r="J77" s="77"/>
      <c r="K77" s="77"/>
      <c r="L77" s="77"/>
      <c r="M77" s="77"/>
      <c r="N77" s="77"/>
      <c r="O77" s="77"/>
    </row>
    <row r="78" spans="1:15" ht="15" x14ac:dyDescent="0.25">
      <c r="A78" s="99"/>
      <c r="B78" s="99"/>
      <c r="C78" s="99"/>
      <c r="D78" s="99"/>
      <c r="E78" s="99"/>
      <c r="F78" s="99"/>
      <c r="G78" s="99"/>
      <c r="H78" s="388"/>
      <c r="I78" s="99"/>
      <c r="J78" s="77"/>
      <c r="K78" s="77"/>
      <c r="L78" s="77"/>
      <c r="M78" s="77"/>
      <c r="N78" s="77"/>
      <c r="O78" s="77"/>
    </row>
    <row r="79" spans="1:15" ht="15" x14ac:dyDescent="0.25">
      <c r="A79" s="99"/>
      <c r="B79" s="99"/>
      <c r="C79" s="99"/>
      <c r="D79" s="99"/>
      <c r="E79" s="99"/>
      <c r="F79" s="99"/>
      <c r="G79" s="99"/>
      <c r="H79" s="388"/>
      <c r="I79" s="99"/>
      <c r="J79" s="77"/>
      <c r="K79" s="77"/>
      <c r="L79" s="77"/>
      <c r="M79" s="77"/>
      <c r="N79" s="77"/>
      <c r="O79" s="77"/>
    </row>
    <row r="80" spans="1:15" ht="15" x14ac:dyDescent="0.25">
      <c r="A80" s="99"/>
      <c r="B80" s="99"/>
      <c r="C80" s="99"/>
      <c r="D80" s="99"/>
      <c r="E80" s="99"/>
      <c r="F80" s="99"/>
      <c r="G80" s="99"/>
      <c r="H80" s="388"/>
      <c r="I80" s="99"/>
      <c r="J80" s="77"/>
      <c r="K80" s="77"/>
      <c r="L80" s="77"/>
      <c r="M80" s="77"/>
      <c r="N80" s="77"/>
      <c r="O80" s="77"/>
    </row>
    <row r="81" spans="1:15" ht="15" x14ac:dyDescent="0.25">
      <c r="A81" s="99"/>
      <c r="B81" s="99"/>
      <c r="C81" s="99"/>
      <c r="D81" s="99"/>
      <c r="E81" s="99"/>
      <c r="F81" s="99"/>
      <c r="G81" s="99"/>
      <c r="H81" s="388"/>
      <c r="I81" s="99"/>
      <c r="J81" s="77"/>
      <c r="K81" s="77"/>
      <c r="L81" s="77"/>
      <c r="M81" s="77"/>
      <c r="N81" s="77"/>
      <c r="O81" s="77"/>
    </row>
    <row r="82" spans="1:15" ht="15" x14ac:dyDescent="0.25">
      <c r="A82" s="99"/>
      <c r="B82" s="99"/>
      <c r="C82" s="99"/>
      <c r="D82" s="99"/>
      <c r="E82" s="99"/>
      <c r="F82" s="99"/>
      <c r="G82" s="99"/>
      <c r="H82" s="388"/>
      <c r="I82" s="99"/>
      <c r="J82" s="77"/>
      <c r="K82" s="77"/>
      <c r="L82" s="77"/>
      <c r="M82" s="77"/>
      <c r="N82" s="77"/>
      <c r="O82" s="77"/>
    </row>
    <row r="83" spans="1:15" ht="15" x14ac:dyDescent="0.25">
      <c r="A83" s="99"/>
      <c r="B83" s="99"/>
      <c r="C83" s="99"/>
      <c r="D83" s="99"/>
      <c r="E83" s="99"/>
      <c r="F83" s="99"/>
      <c r="G83" s="99"/>
      <c r="H83" s="388"/>
      <c r="I83" s="99"/>
      <c r="J83" s="77"/>
      <c r="K83" s="77"/>
      <c r="L83" s="77"/>
      <c r="M83" s="77"/>
      <c r="N83" s="77"/>
      <c r="O83" s="77"/>
    </row>
    <row r="84" spans="1:15" ht="15" x14ac:dyDescent="0.25">
      <c r="A84" s="99"/>
      <c r="B84" s="99"/>
      <c r="C84" s="99"/>
      <c r="D84" s="99"/>
      <c r="E84" s="99"/>
      <c r="F84" s="99"/>
      <c r="G84" s="99"/>
      <c r="H84" s="388"/>
      <c r="I84" s="99"/>
      <c r="J84" s="77"/>
      <c r="K84" s="77"/>
      <c r="L84" s="77"/>
      <c r="M84" s="77"/>
      <c r="N84" s="77"/>
      <c r="O84" s="77"/>
    </row>
    <row r="85" spans="1:15" ht="15" x14ac:dyDescent="0.25">
      <c r="A85" s="99"/>
      <c r="B85" s="99"/>
      <c r="C85" s="99"/>
      <c r="D85" s="99"/>
      <c r="E85" s="99"/>
      <c r="F85" s="99"/>
      <c r="G85" s="99"/>
      <c r="H85" s="388"/>
      <c r="I85" s="99"/>
      <c r="J85" s="77"/>
      <c r="K85" s="77"/>
      <c r="L85" s="77"/>
      <c r="M85" s="77"/>
      <c r="N85" s="77"/>
      <c r="O85" s="77"/>
    </row>
    <row r="86" spans="1:15" ht="15" x14ac:dyDescent="0.25">
      <c r="A86" s="99"/>
      <c r="B86" s="99"/>
      <c r="C86" s="99"/>
      <c r="D86" s="99"/>
      <c r="E86" s="99"/>
      <c r="F86" s="99"/>
      <c r="G86" s="99"/>
      <c r="H86" s="388"/>
      <c r="I86" s="99"/>
      <c r="J86" s="77"/>
      <c r="K86" s="77"/>
      <c r="L86" s="77"/>
      <c r="M86" s="77"/>
      <c r="N86" s="77"/>
      <c r="O86" s="77"/>
    </row>
    <row r="87" spans="1:15" ht="15" x14ac:dyDescent="0.25">
      <c r="A87" s="99"/>
      <c r="B87" s="99"/>
      <c r="C87" s="99"/>
      <c r="D87" s="99"/>
      <c r="E87" s="99"/>
      <c r="F87" s="99"/>
      <c r="G87" s="99"/>
      <c r="H87" s="388"/>
      <c r="I87" s="99"/>
      <c r="J87" s="77"/>
      <c r="K87" s="77"/>
      <c r="L87" s="77"/>
      <c r="M87" s="77"/>
      <c r="N87" s="77"/>
      <c r="O87" s="77"/>
    </row>
    <row r="88" spans="1:15" ht="15" x14ac:dyDescent="0.25">
      <c r="A88" s="99"/>
      <c r="B88" s="99"/>
      <c r="C88" s="99"/>
      <c r="D88" s="99"/>
      <c r="E88" s="99"/>
      <c r="F88" s="99"/>
      <c r="G88" s="99"/>
      <c r="H88" s="388"/>
      <c r="I88" s="99"/>
      <c r="J88" s="77"/>
      <c r="K88" s="77"/>
      <c r="L88" s="77"/>
      <c r="M88" s="77"/>
      <c r="N88" s="77"/>
      <c r="O88" s="77"/>
    </row>
    <row r="89" spans="1:15" ht="15" x14ac:dyDescent="0.25">
      <c r="A89" s="99"/>
      <c r="B89" s="99"/>
      <c r="C89" s="99"/>
      <c r="D89" s="99"/>
      <c r="E89" s="99"/>
      <c r="F89" s="99"/>
      <c r="G89" s="99"/>
      <c r="H89" s="388"/>
      <c r="I89" s="99"/>
      <c r="J89" s="77"/>
      <c r="K89" s="77"/>
      <c r="L89" s="77"/>
      <c r="M89" s="77"/>
      <c r="N89" s="77"/>
      <c r="O89" s="77"/>
    </row>
    <row r="90" spans="1:15" ht="15" x14ac:dyDescent="0.25">
      <c r="A90" s="99"/>
      <c r="B90" s="99"/>
      <c r="C90" s="99"/>
      <c r="D90" s="99"/>
      <c r="E90" s="99"/>
      <c r="F90" s="99"/>
      <c r="G90" s="99"/>
      <c r="H90" s="388"/>
      <c r="I90" s="99"/>
      <c r="J90" s="77"/>
      <c r="K90" s="77"/>
      <c r="L90" s="77"/>
      <c r="M90" s="77"/>
      <c r="N90" s="77"/>
      <c r="O90" s="77"/>
    </row>
    <row r="91" spans="1:15" ht="15" x14ac:dyDescent="0.25">
      <c r="A91" s="99"/>
      <c r="B91" s="99"/>
      <c r="C91" s="99"/>
      <c r="D91" s="99"/>
      <c r="E91" s="99"/>
      <c r="F91" s="99"/>
      <c r="G91" s="99"/>
      <c r="H91" s="388"/>
      <c r="I91" s="99"/>
      <c r="J91" s="77"/>
      <c r="K91" s="77"/>
      <c r="L91" s="77"/>
      <c r="M91" s="77"/>
      <c r="N91" s="77"/>
      <c r="O91" s="77"/>
    </row>
    <row r="92" spans="1:15" ht="15" x14ac:dyDescent="0.25">
      <c r="A92" s="99"/>
      <c r="B92" s="99"/>
      <c r="C92" s="99"/>
      <c r="D92" s="99"/>
      <c r="E92" s="99"/>
      <c r="F92" s="99"/>
      <c r="G92" s="99"/>
      <c r="H92" s="388"/>
      <c r="I92" s="99"/>
      <c r="J92" s="77"/>
      <c r="K92" s="77"/>
      <c r="L92" s="77"/>
      <c r="M92" s="77"/>
      <c r="N92" s="77"/>
      <c r="O92" s="77"/>
    </row>
    <row r="93" spans="1:15" ht="15" x14ac:dyDescent="0.25">
      <c r="A93" s="99"/>
      <c r="B93" s="99"/>
      <c r="C93" s="99"/>
      <c r="D93" s="99"/>
      <c r="E93" s="99"/>
      <c r="F93" s="99"/>
      <c r="G93" s="99"/>
      <c r="H93" s="388"/>
      <c r="I93" s="99"/>
      <c r="J93" s="77"/>
      <c r="K93" s="77"/>
      <c r="L93" s="77"/>
      <c r="M93" s="77"/>
      <c r="N93" s="77"/>
      <c r="O93" s="77"/>
    </row>
    <row r="94" spans="1:15" ht="15" x14ac:dyDescent="0.25">
      <c r="A94" s="99"/>
      <c r="B94" s="99"/>
      <c r="C94" s="99"/>
      <c r="D94" s="99"/>
      <c r="E94" s="99"/>
      <c r="F94" s="99"/>
      <c r="G94" s="99"/>
      <c r="H94" s="388"/>
      <c r="I94" s="99"/>
      <c r="J94" s="77"/>
      <c r="K94" s="77"/>
      <c r="L94" s="77"/>
      <c r="M94" s="77"/>
      <c r="N94" s="77"/>
      <c r="O94" s="77"/>
    </row>
    <row r="95" spans="1:15" ht="15" x14ac:dyDescent="0.25">
      <c r="A95" s="99"/>
      <c r="B95" s="99"/>
      <c r="C95" s="99"/>
      <c r="D95" s="99"/>
      <c r="E95" s="99"/>
      <c r="F95" s="99"/>
      <c r="G95" s="99"/>
      <c r="H95" s="388"/>
      <c r="I95" s="99"/>
      <c r="J95" s="77"/>
      <c r="K95" s="77"/>
      <c r="L95" s="77"/>
      <c r="M95" s="77"/>
      <c r="N95" s="77"/>
      <c r="O95" s="77"/>
    </row>
    <row r="96" spans="1:15" ht="15" x14ac:dyDescent="0.25">
      <c r="A96" s="99"/>
      <c r="B96" s="99"/>
      <c r="C96" s="99"/>
      <c r="D96" s="99"/>
      <c r="E96" s="99"/>
      <c r="F96" s="99"/>
      <c r="G96" s="99"/>
      <c r="H96" s="388"/>
      <c r="I96" s="99"/>
      <c r="J96" s="77"/>
      <c r="K96" s="77"/>
      <c r="L96" s="77"/>
      <c r="M96" s="77"/>
      <c r="N96" s="77"/>
      <c r="O96" s="77"/>
    </row>
    <row r="97" spans="1:15" ht="15" x14ac:dyDescent="0.25">
      <c r="A97" s="99"/>
      <c r="B97" s="99"/>
      <c r="C97" s="99"/>
      <c r="D97" s="99"/>
      <c r="E97" s="99"/>
      <c r="F97" s="99"/>
      <c r="G97" s="99"/>
      <c r="H97" s="388"/>
      <c r="I97" s="99"/>
      <c r="J97" s="77"/>
      <c r="K97" s="77"/>
      <c r="L97" s="77"/>
      <c r="M97" s="77"/>
      <c r="N97" s="77"/>
      <c r="O97" s="77"/>
    </row>
    <row r="98" spans="1:15" ht="15" x14ac:dyDescent="0.25">
      <c r="A98" s="99"/>
      <c r="B98" s="99"/>
      <c r="C98" s="99"/>
      <c r="D98" s="99"/>
      <c r="E98" s="99"/>
      <c r="F98" s="99"/>
      <c r="G98" s="99"/>
      <c r="H98" s="388"/>
      <c r="I98" s="99"/>
      <c r="J98" s="77"/>
      <c r="K98" s="77"/>
      <c r="L98" s="77"/>
      <c r="M98" s="77"/>
      <c r="N98" s="77"/>
      <c r="O98" s="77"/>
    </row>
    <row r="99" spans="1:15" ht="15" x14ac:dyDescent="0.25">
      <c r="A99" s="99"/>
      <c r="B99" s="99"/>
      <c r="C99" s="99"/>
      <c r="D99" s="99"/>
      <c r="E99" s="99"/>
      <c r="F99" s="99"/>
      <c r="G99" s="99"/>
      <c r="H99" s="388"/>
      <c r="I99" s="99"/>
      <c r="J99" s="77"/>
      <c r="K99" s="77"/>
      <c r="L99" s="77"/>
      <c r="M99" s="77"/>
      <c r="N99" s="77"/>
      <c r="O99" s="77"/>
    </row>
    <row r="100" spans="1:15" ht="15.6" thickBot="1" x14ac:dyDescent="0.3">
      <c r="A100" s="99"/>
      <c r="B100" s="99"/>
      <c r="C100" s="99"/>
      <c r="D100" s="99"/>
      <c r="E100" s="99"/>
      <c r="F100" s="99"/>
      <c r="G100" s="99"/>
      <c r="H100" s="388"/>
      <c r="I100" s="99"/>
      <c r="J100" s="77"/>
      <c r="K100" s="77"/>
      <c r="L100" s="77"/>
      <c r="M100" s="77"/>
      <c r="N100" s="77"/>
      <c r="O100" s="77"/>
    </row>
    <row r="101" spans="1:15" ht="15" x14ac:dyDescent="0.25">
      <c r="A101" s="894" t="s">
        <v>195</v>
      </c>
      <c r="B101" s="895"/>
      <c r="C101" s="895"/>
      <c r="D101" s="895"/>
      <c r="E101" s="895"/>
      <c r="F101" s="896"/>
      <c r="G101" s="99"/>
      <c r="H101" s="388"/>
      <c r="I101" s="99"/>
      <c r="J101" s="77"/>
      <c r="K101" s="77"/>
      <c r="L101" s="77"/>
      <c r="M101" s="77"/>
      <c r="N101" s="77"/>
      <c r="O101" s="77"/>
    </row>
    <row r="102" spans="1:15" ht="15.6" thickBot="1" x14ac:dyDescent="0.3">
      <c r="A102" s="897"/>
      <c r="B102" s="898"/>
      <c r="C102" s="898"/>
      <c r="D102" s="898"/>
      <c r="E102" s="898"/>
      <c r="F102" s="899"/>
      <c r="G102" s="99"/>
      <c r="H102" s="388"/>
      <c r="I102" s="99"/>
      <c r="J102" s="77"/>
      <c r="K102" s="77"/>
      <c r="L102" s="77"/>
      <c r="M102" s="77"/>
      <c r="N102" s="77"/>
      <c r="O102" s="77"/>
    </row>
    <row r="103" spans="1:15" ht="15" x14ac:dyDescent="0.25">
      <c r="A103" s="162" t="s">
        <v>5</v>
      </c>
      <c r="B103" s="161" t="s">
        <v>6</v>
      </c>
      <c r="C103" s="161" t="s">
        <v>13</v>
      </c>
      <c r="D103" s="161" t="s">
        <v>82</v>
      </c>
      <c r="E103" s="161" t="s">
        <v>115</v>
      </c>
      <c r="F103" s="163" t="s">
        <v>116</v>
      </c>
      <c r="G103" s="99"/>
      <c r="H103" s="388"/>
      <c r="I103" s="99"/>
      <c r="J103" s="77"/>
      <c r="K103" s="77"/>
      <c r="L103" s="77"/>
      <c r="M103" s="77"/>
      <c r="N103" s="77"/>
      <c r="O103" s="77"/>
    </row>
    <row r="104" spans="1:15" ht="15" x14ac:dyDescent="0.25">
      <c r="A104" s="396" t="s">
        <v>239</v>
      </c>
      <c r="B104" s="106"/>
      <c r="C104" s="106"/>
      <c r="D104" s="106"/>
      <c r="E104" s="106"/>
      <c r="F104" s="107"/>
      <c r="G104" s="99"/>
      <c r="H104" s="388"/>
      <c r="I104" s="99"/>
      <c r="J104" s="77"/>
      <c r="K104" s="77"/>
      <c r="L104" s="77"/>
      <c r="M104" s="77"/>
      <c r="N104" s="77"/>
      <c r="O104" s="77"/>
    </row>
    <row r="105" spans="1:15" ht="30" x14ac:dyDescent="0.25">
      <c r="A105" s="396" t="s">
        <v>91</v>
      </c>
      <c r="B105" s="106" t="s">
        <v>190</v>
      </c>
      <c r="C105" s="106" t="s">
        <v>18</v>
      </c>
      <c r="D105" s="106" t="s">
        <v>8</v>
      </c>
      <c r="E105" s="106" t="s">
        <v>36</v>
      </c>
      <c r="F105" s="107" t="s">
        <v>29</v>
      </c>
      <c r="G105" s="99"/>
      <c r="H105" s="388"/>
      <c r="I105" s="99"/>
      <c r="J105" s="77"/>
      <c r="K105" s="77"/>
      <c r="L105" s="77"/>
      <c r="M105" s="77"/>
      <c r="N105" s="77"/>
      <c r="O105" s="77"/>
    </row>
    <row r="106" spans="1:15" ht="30" x14ac:dyDescent="0.25">
      <c r="A106" s="397" t="s">
        <v>27</v>
      </c>
      <c r="B106" s="106" t="s">
        <v>192</v>
      </c>
      <c r="C106" s="106" t="s">
        <v>15</v>
      </c>
      <c r="D106" s="106" t="s">
        <v>84</v>
      </c>
      <c r="E106" s="106" t="s">
        <v>35</v>
      </c>
      <c r="F106" s="107" t="s">
        <v>28</v>
      </c>
      <c r="G106" s="99"/>
      <c r="H106" s="388"/>
      <c r="I106" s="99"/>
      <c r="J106" s="77"/>
      <c r="K106" s="77"/>
      <c r="L106" s="77"/>
      <c r="M106" s="77"/>
      <c r="N106" s="77"/>
      <c r="O106" s="77"/>
    </row>
    <row r="107" spans="1:15" ht="30" x14ac:dyDescent="0.25">
      <c r="A107" s="397" t="s">
        <v>125</v>
      </c>
      <c r="B107" s="106" t="s">
        <v>191</v>
      </c>
      <c r="C107" s="106" t="s">
        <v>16</v>
      </c>
      <c r="D107" s="106"/>
      <c r="E107" s="106" t="s">
        <v>46</v>
      </c>
      <c r="F107" s="107" t="s">
        <v>34</v>
      </c>
      <c r="G107" s="99"/>
      <c r="H107" s="388"/>
      <c r="I107" s="99"/>
      <c r="J107" s="77"/>
      <c r="K107" s="77"/>
      <c r="L107" s="77"/>
      <c r="M107" s="77"/>
      <c r="N107" s="77"/>
      <c r="O107" s="77"/>
    </row>
    <row r="108" spans="1:15" ht="15" x14ac:dyDescent="0.25">
      <c r="A108" s="396" t="s">
        <v>128</v>
      </c>
      <c r="B108" s="106" t="s">
        <v>193</v>
      </c>
      <c r="C108" s="106" t="s">
        <v>20</v>
      </c>
      <c r="D108" s="106"/>
      <c r="E108" s="106" t="s">
        <v>44</v>
      </c>
      <c r="F108" s="107" t="s">
        <v>142</v>
      </c>
      <c r="G108" s="99"/>
      <c r="H108" s="388"/>
      <c r="I108" s="99"/>
      <c r="J108" s="77"/>
      <c r="K108" s="77"/>
      <c r="L108" s="77"/>
      <c r="M108" s="77"/>
      <c r="N108" s="77"/>
      <c r="O108" s="77"/>
    </row>
    <row r="109" spans="1:15" ht="15" x14ac:dyDescent="0.25">
      <c r="A109" s="397" t="s">
        <v>326</v>
      </c>
      <c r="B109" s="106"/>
      <c r="C109" s="106" t="s">
        <v>19</v>
      </c>
      <c r="D109" s="106"/>
      <c r="E109" s="106" t="s">
        <v>37</v>
      </c>
      <c r="F109" s="107" t="s">
        <v>30</v>
      </c>
      <c r="G109" s="99"/>
      <c r="H109" s="388"/>
      <c r="I109" s="99"/>
      <c r="J109" s="77"/>
      <c r="K109" s="77"/>
      <c r="L109" s="77"/>
      <c r="M109" s="77"/>
      <c r="N109" s="77"/>
      <c r="O109" s="77"/>
    </row>
    <row r="110" spans="1:15" ht="30" x14ac:dyDescent="0.25">
      <c r="A110" s="396" t="s">
        <v>308</v>
      </c>
      <c r="B110" s="106"/>
      <c r="C110" s="106" t="s">
        <v>21</v>
      </c>
      <c r="D110" s="106"/>
      <c r="E110" s="106" t="s">
        <v>117</v>
      </c>
      <c r="F110" s="107" t="s">
        <v>121</v>
      </c>
      <c r="G110" s="99"/>
      <c r="H110" s="388"/>
      <c r="I110" s="99"/>
      <c r="J110" s="77"/>
      <c r="K110" s="77"/>
      <c r="L110" s="77"/>
      <c r="M110" s="77"/>
      <c r="N110" s="77"/>
      <c r="O110" s="77"/>
    </row>
    <row r="111" spans="1:15" ht="30" x14ac:dyDescent="0.25">
      <c r="A111" s="396" t="s">
        <v>309</v>
      </c>
      <c r="B111" s="106"/>
      <c r="C111" s="106" t="s">
        <v>14</v>
      </c>
      <c r="D111" s="106"/>
      <c r="E111" s="106" t="s">
        <v>42</v>
      </c>
      <c r="F111" s="107" t="s">
        <v>40</v>
      </c>
      <c r="G111" s="99"/>
      <c r="H111" s="388"/>
      <c r="I111" s="99"/>
      <c r="J111" s="77"/>
      <c r="K111" s="77"/>
      <c r="L111" s="77"/>
      <c r="M111" s="77"/>
      <c r="N111" s="77"/>
      <c r="O111" s="77"/>
    </row>
    <row r="112" spans="1:15" ht="30" x14ac:dyDescent="0.25">
      <c r="A112" s="396" t="s">
        <v>307</v>
      </c>
      <c r="B112" s="106"/>
      <c r="C112" s="106" t="s">
        <v>17</v>
      </c>
      <c r="D112" s="106"/>
      <c r="E112" s="106" t="s">
        <v>38</v>
      </c>
      <c r="F112" s="107" t="s">
        <v>31</v>
      </c>
      <c r="G112" s="99"/>
      <c r="H112" s="388"/>
      <c r="I112" s="99"/>
      <c r="J112" s="77"/>
      <c r="K112" s="77"/>
      <c r="L112" s="77"/>
      <c r="M112" s="77"/>
      <c r="N112" s="77"/>
      <c r="O112" s="77"/>
    </row>
    <row r="113" spans="1:15" ht="15" x14ac:dyDescent="0.25">
      <c r="A113" s="397" t="s">
        <v>4</v>
      </c>
      <c r="B113" s="106"/>
      <c r="C113" s="106"/>
      <c r="D113" s="106"/>
      <c r="E113" s="106" t="s">
        <v>41</v>
      </c>
      <c r="F113" s="107" t="s">
        <v>39</v>
      </c>
      <c r="G113" s="99"/>
      <c r="H113" s="388"/>
      <c r="I113" s="99"/>
      <c r="J113" s="77"/>
      <c r="K113" s="77"/>
      <c r="L113" s="77"/>
      <c r="M113" s="77"/>
      <c r="N113" s="77"/>
      <c r="O113" s="77"/>
    </row>
    <row r="114" spans="1:15" ht="15" x14ac:dyDescent="0.25">
      <c r="A114" s="397" t="s">
        <v>126</v>
      </c>
      <c r="B114" s="106"/>
      <c r="C114" s="106"/>
      <c r="D114" s="106"/>
      <c r="E114" s="106" t="s">
        <v>43</v>
      </c>
      <c r="F114" s="107" t="s">
        <v>120</v>
      </c>
      <c r="G114" s="99"/>
      <c r="H114" s="388"/>
      <c r="I114" s="99"/>
      <c r="J114" s="77"/>
      <c r="K114" s="77"/>
      <c r="L114" s="77"/>
      <c r="M114" s="77"/>
      <c r="N114" s="77"/>
      <c r="O114" s="77"/>
    </row>
    <row r="115" spans="1:15" x14ac:dyDescent="0.25">
      <c r="A115" s="2" t="s">
        <v>238</v>
      </c>
      <c r="B115" s="2"/>
      <c r="C115" s="2"/>
      <c r="D115" s="2"/>
      <c r="E115" s="2" t="s">
        <v>118</v>
      </c>
      <c r="F115" s="2" t="s">
        <v>122</v>
      </c>
      <c r="G115" s="2"/>
      <c r="H115" s="3"/>
      <c r="I115" s="2"/>
    </row>
    <row r="116" spans="1:15" x14ac:dyDescent="0.25">
      <c r="A116" s="2" t="s">
        <v>183</v>
      </c>
      <c r="B116" s="2"/>
      <c r="C116" s="2"/>
      <c r="D116" s="2"/>
      <c r="E116" s="2" t="s">
        <v>45</v>
      </c>
      <c r="F116" s="2" t="s">
        <v>32</v>
      </c>
      <c r="G116" s="2"/>
      <c r="H116" s="3"/>
      <c r="I116" s="2"/>
    </row>
    <row r="117" spans="1:15" ht="15" x14ac:dyDescent="0.25">
      <c r="A117" s="2"/>
      <c r="B117" s="2"/>
      <c r="C117" s="2"/>
      <c r="D117" s="2"/>
      <c r="E117" s="106" t="s">
        <v>142</v>
      </c>
      <c r="F117" s="2"/>
      <c r="G117" s="2"/>
      <c r="H117" s="3"/>
      <c r="I117" s="2"/>
    </row>
    <row r="118" spans="1:15" x14ac:dyDescent="0.25">
      <c r="A118" s="2"/>
      <c r="B118" s="2"/>
      <c r="C118" s="2"/>
      <c r="D118" s="2"/>
      <c r="E118" s="2"/>
      <c r="F118" s="2"/>
      <c r="G118" s="2"/>
      <c r="H118" s="3"/>
      <c r="I118" s="2"/>
    </row>
    <row r="119" spans="1:15" x14ac:dyDescent="0.25">
      <c r="A119" s="2"/>
      <c r="B119" s="2"/>
      <c r="C119" s="2"/>
      <c r="D119" s="2"/>
      <c r="E119" s="2"/>
      <c r="F119" s="2"/>
      <c r="G119" s="2"/>
      <c r="H119" s="3"/>
      <c r="I119" s="2"/>
    </row>
    <row r="120" spans="1:15" x14ac:dyDescent="0.25">
      <c r="A120" s="2"/>
      <c r="B120" s="2"/>
      <c r="C120" s="2"/>
      <c r="D120" s="2"/>
      <c r="E120" s="2"/>
      <c r="F120" s="2"/>
      <c r="G120" s="2"/>
      <c r="H120" s="3"/>
      <c r="I120" s="2"/>
    </row>
    <row r="121" spans="1:15" x14ac:dyDescent="0.25">
      <c r="A121" s="2"/>
      <c r="B121" s="2"/>
      <c r="C121" s="2"/>
      <c r="D121" s="2"/>
      <c r="E121" s="2"/>
      <c r="F121" s="2"/>
      <c r="G121" s="2"/>
      <c r="H121" s="3"/>
      <c r="I121" s="2"/>
    </row>
    <row r="122" spans="1:15" x14ac:dyDescent="0.25">
      <c r="A122" s="2"/>
      <c r="B122" s="2"/>
      <c r="C122" s="2"/>
      <c r="D122" s="2"/>
      <c r="E122" s="2"/>
      <c r="F122" s="2"/>
      <c r="G122" s="2"/>
      <c r="H122" s="3"/>
      <c r="I122" s="2"/>
    </row>
    <row r="123" spans="1:15" x14ac:dyDescent="0.25">
      <c r="A123" s="2"/>
      <c r="B123" s="2"/>
      <c r="C123" s="2"/>
      <c r="D123" s="2"/>
      <c r="E123" s="2"/>
      <c r="F123" s="2"/>
      <c r="G123" s="2"/>
      <c r="H123" s="3"/>
      <c r="I123" s="2"/>
    </row>
    <row r="124" spans="1:15" x14ac:dyDescent="0.25">
      <c r="A124" s="2"/>
      <c r="B124" s="2"/>
      <c r="C124" s="2"/>
      <c r="D124" s="2"/>
      <c r="E124" s="2"/>
      <c r="F124" s="2"/>
      <c r="G124" s="2"/>
      <c r="H124" s="3"/>
      <c r="I124" s="2"/>
    </row>
    <row r="125" spans="1:15" x14ac:dyDescent="0.25">
      <c r="A125" s="2"/>
      <c r="B125" s="2"/>
      <c r="C125" s="2"/>
      <c r="D125" s="2"/>
      <c r="E125" s="2"/>
      <c r="F125" s="2"/>
      <c r="G125" s="2"/>
      <c r="H125" s="3"/>
      <c r="I125" s="2"/>
    </row>
    <row r="126" spans="1:15" x14ac:dyDescent="0.25">
      <c r="A126" s="2"/>
      <c r="B126" s="2"/>
      <c r="C126" s="2"/>
      <c r="D126" s="2"/>
      <c r="E126" s="2"/>
      <c r="F126" s="2"/>
      <c r="G126" s="2"/>
      <c r="H126" s="3"/>
      <c r="I126" s="2"/>
    </row>
    <row r="127" spans="1:15" x14ac:dyDescent="0.25">
      <c r="A127" s="2"/>
      <c r="B127" s="2"/>
      <c r="C127" s="2"/>
      <c r="D127" s="2"/>
      <c r="E127" s="2"/>
      <c r="F127" s="2"/>
      <c r="G127" s="2"/>
      <c r="H127" s="3"/>
      <c r="I127" s="2"/>
    </row>
    <row r="128" spans="1:15" x14ac:dyDescent="0.25">
      <c r="A128" s="2"/>
      <c r="B128" s="2"/>
      <c r="C128" s="2"/>
      <c r="D128" s="2"/>
      <c r="E128" s="2"/>
      <c r="F128" s="2"/>
      <c r="G128" s="2"/>
      <c r="H128" s="3"/>
      <c r="I128" s="2"/>
    </row>
    <row r="129" spans="1:9" x14ac:dyDescent="0.25">
      <c r="A129" s="2"/>
      <c r="B129" s="2"/>
      <c r="C129" s="2"/>
      <c r="D129" s="2"/>
      <c r="E129" s="2"/>
      <c r="F129" s="2"/>
      <c r="G129" s="2"/>
      <c r="H129" s="3"/>
      <c r="I129" s="2"/>
    </row>
  </sheetData>
  <mergeCells count="7">
    <mergeCell ref="A101:F102"/>
    <mergeCell ref="A1:O1"/>
    <mergeCell ref="A3:O3"/>
    <mergeCell ref="A11:O11"/>
    <mergeCell ref="A35:O35"/>
    <mergeCell ref="A47:O47"/>
    <mergeCell ref="A48:F48"/>
  </mergeCells>
  <dataValidations count="7">
    <dataValidation type="list" allowBlank="1" showInputMessage="1" showErrorMessage="1" sqref="E40 C39:D46" xr:uid="{00000000-0002-0000-0E00-000000000000}">
      <formula1>#REF!</formula1>
    </dataValidation>
    <dataValidation type="list" allowBlank="1" showInputMessage="1" showErrorMessage="1" sqref="C22:D31 C14:D18 C37:D37 C5:D10" xr:uid="{00000000-0002-0000-0E00-000001000000}">
      <formula1>$A$110:$A$122</formula1>
    </dataValidation>
    <dataValidation type="list" allowBlank="1" showInputMessage="1" showErrorMessage="1" sqref="E5:E10 E22:E31 E37 E14:E18" xr:uid="{00000000-0002-0000-0E00-000002000000}">
      <formula1>$F$110:$F$124</formula1>
    </dataValidation>
    <dataValidation type="list" allowBlank="1" showInputMessage="1" showErrorMessage="1" sqref="B5:B10 B22:B31 B14:B18 B37" xr:uid="{00000000-0002-0000-0E00-000003000000}">
      <formula1>$B$110:$B$114</formula1>
    </dataValidation>
    <dataValidation type="list" allowBlank="1" showInputMessage="1" showErrorMessage="1" sqref="A5:A10 A37 A14:A18 A22:A31" xr:uid="{00000000-0002-0000-0E00-000004000000}">
      <formula1>$D$110:$D$112</formula1>
    </dataValidation>
    <dataValidation type="list" allowBlank="1" showInputMessage="1" showErrorMessage="1" sqref="G5:G10 G14:G18 G37 G22:G31" xr:uid="{00000000-0002-0000-0E00-000005000000}">
      <formula1>$C$110:$C$118</formula1>
    </dataValidation>
    <dataValidation type="list" allowBlank="1" showInputMessage="1" showErrorMessage="1" sqref="F22:F31 F14:F18 F37 F5:F10" xr:uid="{00000000-0002-0000-0E00-000006000000}">
      <formula1>$E$110:$E$124</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40"/>
  <dimension ref="A1:EA129"/>
  <sheetViews>
    <sheetView zoomScale="70" zoomScaleNormal="70" workbookViewId="0">
      <selection activeCell="K6" sqref="K6"/>
    </sheetView>
  </sheetViews>
  <sheetFormatPr defaultColWidth="8.77734375" defaultRowHeight="13.2" x14ac:dyDescent="0.25"/>
  <cols>
    <col min="1" max="15" width="26.44140625" customWidth="1"/>
  </cols>
  <sheetData>
    <row r="1" spans="1:131" ht="18" thickBot="1" x14ac:dyDescent="0.3">
      <c r="A1" s="900" t="s">
        <v>310</v>
      </c>
      <c r="B1" s="900"/>
      <c r="C1" s="900"/>
      <c r="D1" s="900"/>
      <c r="E1" s="900"/>
      <c r="F1" s="900"/>
      <c r="G1" s="900"/>
      <c r="H1" s="900"/>
      <c r="I1" s="900"/>
      <c r="J1" s="900"/>
      <c r="K1" s="900"/>
      <c r="L1" s="900"/>
      <c r="M1" s="900"/>
      <c r="N1" s="900"/>
      <c r="O1" s="900"/>
    </row>
    <row r="2" spans="1:131" ht="17.399999999999999" x14ac:dyDescent="0.25">
      <c r="A2" s="548" t="s">
        <v>188</v>
      </c>
      <c r="B2" s="175"/>
      <c r="C2" s="548"/>
      <c r="D2" s="548"/>
      <c r="E2" s="548"/>
      <c r="F2" s="548"/>
      <c r="G2" s="548"/>
      <c r="H2" s="381"/>
      <c r="I2" s="548"/>
      <c r="J2" s="399"/>
      <c r="K2" s="399"/>
      <c r="L2" s="399"/>
      <c r="M2" s="399"/>
      <c r="N2" s="399"/>
      <c r="O2" s="399"/>
    </row>
    <row r="3" spans="1:131" ht="15" x14ac:dyDescent="0.25">
      <c r="A3" s="901" t="s">
        <v>204</v>
      </c>
      <c r="B3" s="902"/>
      <c r="C3" s="902"/>
      <c r="D3" s="902"/>
      <c r="E3" s="902"/>
      <c r="F3" s="902"/>
      <c r="G3" s="902"/>
      <c r="H3" s="902"/>
      <c r="I3" s="902"/>
      <c r="J3" s="902"/>
      <c r="K3" s="902"/>
      <c r="L3" s="902"/>
      <c r="M3" s="902"/>
      <c r="N3" s="902"/>
      <c r="O3" s="903"/>
    </row>
    <row r="4" spans="1:131" ht="60" x14ac:dyDescent="0.25">
      <c r="A4" s="176" t="s">
        <v>89</v>
      </c>
      <c r="B4" s="176" t="s">
        <v>90</v>
      </c>
      <c r="C4" s="177" t="s">
        <v>0</v>
      </c>
      <c r="D4" s="177" t="s">
        <v>124</v>
      </c>
      <c r="E4" s="176" t="s">
        <v>143</v>
      </c>
      <c r="F4" s="176" t="s">
        <v>144</v>
      </c>
      <c r="G4" s="176" t="s">
        <v>13</v>
      </c>
      <c r="H4" s="382" t="s">
        <v>88</v>
      </c>
      <c r="I4" s="176" t="s">
        <v>12</v>
      </c>
      <c r="J4" s="400" t="s">
        <v>158</v>
      </c>
      <c r="K4" s="400" t="s">
        <v>148</v>
      </c>
      <c r="L4" s="400" t="s">
        <v>180</v>
      </c>
      <c r="M4" s="400" t="s">
        <v>104</v>
      </c>
      <c r="N4" s="400" t="s">
        <v>179</v>
      </c>
      <c r="O4" s="400" t="s">
        <v>205</v>
      </c>
    </row>
    <row r="5" spans="1:131" ht="30" x14ac:dyDescent="0.25">
      <c r="A5" s="482" t="s">
        <v>84</v>
      </c>
      <c r="B5" s="482" t="s">
        <v>3</v>
      </c>
      <c r="C5" s="482" t="s">
        <v>307</v>
      </c>
      <c r="D5" s="482" t="s">
        <v>307</v>
      </c>
      <c r="E5" s="327" t="s">
        <v>120</v>
      </c>
      <c r="F5" s="457" t="s">
        <v>45</v>
      </c>
      <c r="G5" s="482" t="s">
        <v>14</v>
      </c>
      <c r="H5" s="483">
        <v>44423</v>
      </c>
      <c r="I5" s="482" t="s">
        <v>23</v>
      </c>
      <c r="J5" s="350">
        <v>143.66999999999999</v>
      </c>
      <c r="K5" s="350">
        <f>'Oct13'!K5</f>
        <v>110.75</v>
      </c>
      <c r="L5" s="496">
        <f t="shared" ref="L5:L8" si="0">N5-M5</f>
        <v>12.917395819999999</v>
      </c>
      <c r="M5" s="350">
        <f t="shared" ref="M5:N8" si="1">-DZ5/1000000</f>
        <v>1.18298693</v>
      </c>
      <c r="N5" s="350">
        <f t="shared" si="1"/>
        <v>14.10038275</v>
      </c>
      <c r="O5" s="88"/>
      <c r="DZ5">
        <v>-1182986.93</v>
      </c>
      <c r="EA5">
        <v>-14100382.75</v>
      </c>
    </row>
    <row r="6" spans="1:131" ht="30" x14ac:dyDescent="0.25">
      <c r="A6" s="485" t="s">
        <v>84</v>
      </c>
      <c r="B6" s="485" t="s">
        <v>3</v>
      </c>
      <c r="C6" s="485" t="s">
        <v>307</v>
      </c>
      <c r="D6" s="485" t="s">
        <v>307</v>
      </c>
      <c r="E6" s="329" t="s">
        <v>120</v>
      </c>
      <c r="F6" s="457" t="s">
        <v>45</v>
      </c>
      <c r="G6" s="485" t="s">
        <v>14</v>
      </c>
      <c r="H6" s="93">
        <v>44576</v>
      </c>
      <c r="I6" s="485" t="s">
        <v>24</v>
      </c>
      <c r="J6" s="351">
        <v>27.4</v>
      </c>
      <c r="K6" s="351">
        <f>'Oct13'!K6</f>
        <v>25.83</v>
      </c>
      <c r="L6" s="497">
        <f t="shared" si="0"/>
        <v>3.3252793899999999</v>
      </c>
      <c r="M6" s="351">
        <f t="shared" si="1"/>
        <v>6.5575660000000008E-2</v>
      </c>
      <c r="N6" s="351">
        <f t="shared" si="1"/>
        <v>3.3908550499999999</v>
      </c>
      <c r="O6" s="96"/>
      <c r="DZ6">
        <v>-65575.66</v>
      </c>
      <c r="EA6">
        <v>-3390855.05</v>
      </c>
    </row>
    <row r="7" spans="1:131" ht="30" x14ac:dyDescent="0.25">
      <c r="A7" s="482" t="s">
        <v>84</v>
      </c>
      <c r="B7" s="482" t="s">
        <v>3</v>
      </c>
      <c r="C7" s="482" t="s">
        <v>308</v>
      </c>
      <c r="D7" s="482" t="s">
        <v>308</v>
      </c>
      <c r="E7" s="327" t="s">
        <v>39</v>
      </c>
      <c r="F7" s="457" t="s">
        <v>38</v>
      </c>
      <c r="G7" s="482" t="s">
        <v>14</v>
      </c>
      <c r="H7" s="483">
        <v>44576</v>
      </c>
      <c r="I7" s="482" t="s">
        <v>24</v>
      </c>
      <c r="J7" s="350">
        <v>26.85</v>
      </c>
      <c r="K7" s="350">
        <f>'Oct13'!K7</f>
        <v>25.38</v>
      </c>
      <c r="L7" s="496">
        <f t="shared" si="0"/>
        <v>3.2603137299999996</v>
      </c>
      <c r="M7" s="350">
        <f t="shared" si="1"/>
        <v>6.4420530000000004E-2</v>
      </c>
      <c r="N7" s="350">
        <f t="shared" si="1"/>
        <v>3.3247342599999996</v>
      </c>
      <c r="O7" s="88"/>
      <c r="DZ7">
        <v>-64420.53</v>
      </c>
      <c r="EA7">
        <v>-3324734.26</v>
      </c>
    </row>
    <row r="8" spans="1:131" ht="30" x14ac:dyDescent="0.25">
      <c r="A8" s="485" t="s">
        <v>84</v>
      </c>
      <c r="B8" s="485" t="s">
        <v>3</v>
      </c>
      <c r="C8" s="485" t="s">
        <v>309</v>
      </c>
      <c r="D8" s="485" t="s">
        <v>125</v>
      </c>
      <c r="E8" s="329" t="s">
        <v>40</v>
      </c>
      <c r="F8" s="458" t="s">
        <v>42</v>
      </c>
      <c r="G8" s="485" t="s">
        <v>14</v>
      </c>
      <c r="H8" s="93">
        <v>46296</v>
      </c>
      <c r="I8" s="485" t="s">
        <v>25</v>
      </c>
      <c r="J8" s="351">
        <v>40.880000000000003</v>
      </c>
      <c r="K8" s="351">
        <f>'Oct13'!K8</f>
        <v>35.590000000000003</v>
      </c>
      <c r="L8" s="497">
        <f t="shared" si="0"/>
        <v>4.55341386</v>
      </c>
      <c r="M8" s="351">
        <f t="shared" si="1"/>
        <v>8.1182020000000008E-2</v>
      </c>
      <c r="N8" s="351">
        <f t="shared" si="1"/>
        <v>4.63459588</v>
      </c>
      <c r="O8" s="96"/>
      <c r="DZ8">
        <v>-81182.02</v>
      </c>
      <c r="EA8">
        <v>-4634595.88</v>
      </c>
    </row>
    <row r="9" spans="1:131" ht="15" x14ac:dyDescent="0.25">
      <c r="A9" s="111"/>
      <c r="B9" s="111"/>
      <c r="C9" s="111"/>
      <c r="D9" s="111"/>
      <c r="E9" s="123"/>
      <c r="F9" s="111"/>
      <c r="G9" s="111"/>
      <c r="H9" s="114"/>
      <c r="I9" s="111"/>
      <c r="J9" s="352"/>
      <c r="K9" s="352"/>
      <c r="L9" s="352"/>
      <c r="M9" s="352"/>
      <c r="N9" s="353"/>
      <c r="O9" s="353"/>
    </row>
    <row r="10" spans="1:131" ht="15" x14ac:dyDescent="0.25">
      <c r="A10" s="485"/>
      <c r="B10" s="485"/>
      <c r="C10" s="485"/>
      <c r="D10" s="485"/>
      <c r="E10" s="329"/>
      <c r="F10" s="485"/>
      <c r="G10" s="485"/>
      <c r="H10" s="93"/>
      <c r="I10" s="485"/>
      <c r="J10" s="351"/>
      <c r="K10" s="351"/>
      <c r="L10" s="351"/>
      <c r="M10" s="351"/>
      <c r="N10" s="96"/>
      <c r="O10" s="96"/>
    </row>
    <row r="11" spans="1:131" ht="15" x14ac:dyDescent="0.25">
      <c r="A11" s="901" t="s">
        <v>203</v>
      </c>
      <c r="B11" s="902"/>
      <c r="C11" s="902"/>
      <c r="D11" s="902"/>
      <c r="E11" s="902"/>
      <c r="F11" s="902"/>
      <c r="G11" s="902"/>
      <c r="H11" s="902"/>
      <c r="I11" s="902"/>
      <c r="J11" s="902"/>
      <c r="K11" s="902"/>
      <c r="L11" s="902"/>
      <c r="M11" s="902"/>
      <c r="N11" s="902"/>
      <c r="O11" s="903"/>
    </row>
    <row r="12" spans="1:131" ht="60" x14ac:dyDescent="0.25">
      <c r="A12" s="176" t="s">
        <v>89</v>
      </c>
      <c r="B12" s="176" t="s">
        <v>90</v>
      </c>
      <c r="C12" s="177" t="s">
        <v>0</v>
      </c>
      <c r="D12" s="180" t="s">
        <v>124</v>
      </c>
      <c r="E12" s="176" t="s">
        <v>143</v>
      </c>
      <c r="F12" s="176" t="s">
        <v>144</v>
      </c>
      <c r="G12" s="176" t="s">
        <v>13</v>
      </c>
      <c r="H12" s="382" t="s">
        <v>88</v>
      </c>
      <c r="I12" s="176" t="s">
        <v>12</v>
      </c>
      <c r="J12" s="400" t="s">
        <v>150</v>
      </c>
      <c r="K12" s="400" t="s">
        <v>151</v>
      </c>
      <c r="L12" s="400" t="s">
        <v>157</v>
      </c>
      <c r="M12" s="400" t="s">
        <v>149</v>
      </c>
      <c r="N12" s="400" t="s">
        <v>179</v>
      </c>
      <c r="O12" s="400" t="s">
        <v>205</v>
      </c>
    </row>
    <row r="13" spans="1:131" ht="15" x14ac:dyDescent="0.25">
      <c r="A13" s="184" t="s">
        <v>197</v>
      </c>
      <c r="B13" s="184"/>
      <c r="C13" s="185"/>
      <c r="D13" s="185"/>
      <c r="E13" s="184"/>
      <c r="F13" s="184"/>
      <c r="G13" s="184"/>
      <c r="H13" s="383"/>
      <c r="I13" s="184"/>
      <c r="J13" s="403"/>
      <c r="K13" s="403"/>
      <c r="L13" s="403"/>
      <c r="M13" s="403"/>
      <c r="N13" s="403"/>
      <c r="O13" s="404"/>
    </row>
    <row r="14" spans="1:131" ht="30" x14ac:dyDescent="0.25">
      <c r="A14" s="482" t="s">
        <v>8</v>
      </c>
      <c r="B14" s="541" t="s">
        <v>7</v>
      </c>
      <c r="C14" s="482" t="s">
        <v>239</v>
      </c>
      <c r="D14" s="482" t="s">
        <v>238</v>
      </c>
      <c r="E14" s="327" t="s">
        <v>32</v>
      </c>
      <c r="F14" s="327" t="s">
        <v>45</v>
      </c>
      <c r="G14" s="482" t="s">
        <v>22</v>
      </c>
      <c r="H14" s="483">
        <v>41820</v>
      </c>
      <c r="I14" s="482" t="s">
        <v>132</v>
      </c>
      <c r="J14" s="88">
        <v>19.28</v>
      </c>
      <c r="K14" s="88">
        <v>-6.7</v>
      </c>
      <c r="L14" s="488">
        <v>12.580000000000002</v>
      </c>
      <c r="M14" s="88"/>
      <c r="N14" s="88"/>
      <c r="O14" s="88"/>
    </row>
    <row r="15" spans="1:131" ht="30" x14ac:dyDescent="0.25">
      <c r="A15" s="485" t="s">
        <v>8</v>
      </c>
      <c r="B15" s="485" t="s">
        <v>193</v>
      </c>
      <c r="C15" s="485" t="s">
        <v>239</v>
      </c>
      <c r="D15" s="485" t="s">
        <v>238</v>
      </c>
      <c r="E15" s="485" t="s">
        <v>32</v>
      </c>
      <c r="F15" s="485" t="s">
        <v>45</v>
      </c>
      <c r="G15" s="485" t="s">
        <v>22</v>
      </c>
      <c r="H15" s="385">
        <v>42185</v>
      </c>
      <c r="I15" s="485" t="s">
        <v>133</v>
      </c>
      <c r="J15" s="379">
        <v>13.19</v>
      </c>
      <c r="K15" s="379">
        <v>0</v>
      </c>
      <c r="L15" s="489">
        <v>13.19</v>
      </c>
      <c r="M15" s="379"/>
      <c r="N15" s="379"/>
      <c r="O15" s="379"/>
    </row>
    <row r="16" spans="1:131" ht="30" x14ac:dyDescent="0.25">
      <c r="A16" s="482" t="s">
        <v>8</v>
      </c>
      <c r="B16" s="482" t="s">
        <v>193</v>
      </c>
      <c r="C16" s="482" t="s">
        <v>239</v>
      </c>
      <c r="D16" s="482" t="s">
        <v>238</v>
      </c>
      <c r="E16" s="482" t="s">
        <v>32</v>
      </c>
      <c r="F16" s="482" t="s">
        <v>45</v>
      </c>
      <c r="G16" s="482" t="s">
        <v>22</v>
      </c>
      <c r="H16" s="386">
        <v>42551</v>
      </c>
      <c r="I16" s="482" t="s">
        <v>300</v>
      </c>
      <c r="J16" s="380">
        <v>1.0900000000000001</v>
      </c>
      <c r="K16" s="380">
        <v>0</v>
      </c>
      <c r="L16" s="488">
        <v>1.0900000000000001</v>
      </c>
      <c r="M16" s="380"/>
      <c r="N16" s="380"/>
      <c r="O16" s="380"/>
    </row>
    <row r="17" spans="1:15" ht="30" x14ac:dyDescent="0.25">
      <c r="A17" s="485" t="s">
        <v>8</v>
      </c>
      <c r="B17" s="485" t="s">
        <v>193</v>
      </c>
      <c r="C17" s="485" t="s">
        <v>239</v>
      </c>
      <c r="D17" s="485" t="s">
        <v>238</v>
      </c>
      <c r="E17" s="485" t="s">
        <v>32</v>
      </c>
      <c r="F17" s="485" t="s">
        <v>45</v>
      </c>
      <c r="G17" s="485" t="s">
        <v>22</v>
      </c>
      <c r="H17" s="385">
        <v>42916</v>
      </c>
      <c r="I17" s="485" t="s">
        <v>345</v>
      </c>
      <c r="J17" s="379">
        <v>0</v>
      </c>
      <c r="K17" s="379">
        <v>0</v>
      </c>
      <c r="L17" s="490">
        <v>0</v>
      </c>
      <c r="M17" s="379"/>
      <c r="N17" s="379"/>
      <c r="O17" s="379"/>
    </row>
    <row r="18" spans="1:15" ht="15" x14ac:dyDescent="0.25">
      <c r="A18" s="181"/>
      <c r="B18" s="181"/>
      <c r="C18" s="181"/>
      <c r="D18" s="181"/>
      <c r="E18" s="182"/>
      <c r="F18" s="181"/>
      <c r="G18" s="181"/>
      <c r="H18" s="183" t="s">
        <v>206</v>
      </c>
      <c r="I18" s="181"/>
      <c r="J18" s="354">
        <v>33.56</v>
      </c>
      <c r="K18" s="354">
        <v>-6.7</v>
      </c>
      <c r="L18" s="354">
        <v>26.860000000000003</v>
      </c>
      <c r="M18" s="354">
        <v>25.515158000000003</v>
      </c>
      <c r="N18" s="354">
        <v>1.3448420000000001</v>
      </c>
      <c r="O18" s="354">
        <v>35</v>
      </c>
    </row>
    <row r="19" spans="1:15" ht="15" x14ac:dyDescent="0.25">
      <c r="A19" s="181" t="s">
        <v>295</v>
      </c>
      <c r="B19" s="181"/>
      <c r="C19" s="181"/>
      <c r="D19" s="181"/>
      <c r="E19" s="182"/>
      <c r="F19" s="181"/>
      <c r="G19" s="181"/>
      <c r="H19" s="183"/>
      <c r="I19" s="181"/>
      <c r="J19" s="354"/>
      <c r="K19" s="354"/>
      <c r="L19" s="354"/>
      <c r="M19" s="354"/>
      <c r="N19" s="354"/>
      <c r="O19" s="354"/>
    </row>
    <row r="20" spans="1:15" ht="15" x14ac:dyDescent="0.25">
      <c r="A20" s="184" t="s">
        <v>327</v>
      </c>
      <c r="B20" s="184"/>
      <c r="C20" s="185"/>
      <c r="D20" s="185"/>
      <c r="E20" s="184"/>
      <c r="F20" s="184"/>
      <c r="G20" s="184"/>
      <c r="H20" s="383"/>
      <c r="I20" s="184"/>
      <c r="J20" s="459"/>
      <c r="K20" s="459"/>
      <c r="L20" s="459"/>
      <c r="M20" s="459"/>
      <c r="N20" s="459"/>
      <c r="O20" s="186"/>
    </row>
    <row r="21" spans="1:15" ht="30" x14ac:dyDescent="0.25">
      <c r="A21" s="482" t="s">
        <v>8</v>
      </c>
      <c r="B21" s="482" t="s">
        <v>7</v>
      </c>
      <c r="C21" s="482" t="s">
        <v>27</v>
      </c>
      <c r="D21" s="482" t="s">
        <v>127</v>
      </c>
      <c r="E21" s="327" t="s">
        <v>33</v>
      </c>
      <c r="F21" s="327" t="s">
        <v>45</v>
      </c>
      <c r="G21" s="482" t="s">
        <v>22</v>
      </c>
      <c r="H21" s="483">
        <v>41820</v>
      </c>
      <c r="I21" s="482" t="s">
        <v>138</v>
      </c>
      <c r="J21" s="88">
        <v>0.92112859999999996</v>
      </c>
      <c r="K21" s="88">
        <v>-0.92112859999999996</v>
      </c>
      <c r="L21" s="488">
        <v>0</v>
      </c>
      <c r="M21" s="486"/>
      <c r="N21" s="486"/>
      <c r="O21" s="486"/>
    </row>
    <row r="22" spans="1:15" ht="30" x14ac:dyDescent="0.25">
      <c r="A22" s="482" t="s">
        <v>8</v>
      </c>
      <c r="B22" s="485" t="s">
        <v>7</v>
      </c>
      <c r="C22" s="485" t="s">
        <v>27</v>
      </c>
      <c r="D22" s="485" t="s">
        <v>127</v>
      </c>
      <c r="E22" s="485" t="s">
        <v>33</v>
      </c>
      <c r="F22" s="485" t="s">
        <v>45</v>
      </c>
      <c r="G22" s="485" t="s">
        <v>22</v>
      </c>
      <c r="H22" s="385">
        <v>42185</v>
      </c>
      <c r="I22" s="485" t="s">
        <v>139</v>
      </c>
      <c r="J22" s="379"/>
      <c r="K22" s="379"/>
      <c r="L22" s="489">
        <v>0</v>
      </c>
      <c r="M22" s="484"/>
      <c r="N22" s="484"/>
      <c r="O22" s="484"/>
    </row>
    <row r="23" spans="1:15" ht="30" x14ac:dyDescent="0.25">
      <c r="A23" s="482" t="s">
        <v>8</v>
      </c>
      <c r="B23" s="482" t="s">
        <v>7</v>
      </c>
      <c r="C23" s="482" t="s">
        <v>27</v>
      </c>
      <c r="D23" s="482" t="s">
        <v>127</v>
      </c>
      <c r="E23" s="482" t="s">
        <v>33</v>
      </c>
      <c r="F23" s="482" t="s">
        <v>45</v>
      </c>
      <c r="G23" s="482" t="s">
        <v>22</v>
      </c>
      <c r="H23" s="386">
        <v>42551</v>
      </c>
      <c r="I23" s="482" t="s">
        <v>301</v>
      </c>
      <c r="J23" s="380"/>
      <c r="K23" s="380"/>
      <c r="L23" s="488">
        <v>0</v>
      </c>
      <c r="M23" s="487"/>
      <c r="N23" s="487"/>
      <c r="O23" s="487"/>
    </row>
    <row r="24" spans="1:15" ht="30" x14ac:dyDescent="0.25">
      <c r="A24" s="482" t="s">
        <v>8</v>
      </c>
      <c r="B24" s="485" t="s">
        <v>7</v>
      </c>
      <c r="C24" s="485" t="s">
        <v>27</v>
      </c>
      <c r="D24" s="485" t="s">
        <v>127</v>
      </c>
      <c r="E24" s="485" t="s">
        <v>33</v>
      </c>
      <c r="F24" s="485" t="s">
        <v>45</v>
      </c>
      <c r="G24" s="485" t="s">
        <v>22</v>
      </c>
      <c r="H24" s="385">
        <v>42916</v>
      </c>
      <c r="I24" s="485" t="s">
        <v>346</v>
      </c>
      <c r="J24" s="379"/>
      <c r="K24" s="379"/>
      <c r="L24" s="490">
        <v>0</v>
      </c>
      <c r="M24" s="484"/>
      <c r="N24" s="484"/>
      <c r="O24" s="484"/>
    </row>
    <row r="25" spans="1:15" ht="15" x14ac:dyDescent="0.25">
      <c r="A25" s="181" t="s">
        <v>324</v>
      </c>
      <c r="B25" s="181"/>
      <c r="C25" s="181"/>
      <c r="D25" s="181"/>
      <c r="E25" s="182"/>
      <c r="F25" s="181"/>
      <c r="G25" s="181"/>
      <c r="H25" s="183" t="s">
        <v>206</v>
      </c>
      <c r="I25" s="181"/>
      <c r="J25" s="354">
        <v>0.92112859999999996</v>
      </c>
      <c r="K25" s="354">
        <v>-0.92112859999999996</v>
      </c>
      <c r="L25" s="354">
        <v>0</v>
      </c>
      <c r="M25" s="354">
        <v>1.7952399999999875E-4</v>
      </c>
      <c r="N25" s="354">
        <v>-1.7952399999999875E-4</v>
      </c>
      <c r="O25" s="354"/>
    </row>
    <row r="26" spans="1:15" ht="15" x14ac:dyDescent="0.25">
      <c r="A26" s="181"/>
      <c r="B26" s="181"/>
      <c r="C26" s="181"/>
      <c r="D26" s="181"/>
      <c r="E26" s="182"/>
      <c r="F26" s="181"/>
      <c r="G26" s="181"/>
      <c r="H26" s="183"/>
      <c r="I26" s="181"/>
      <c r="J26" s="354"/>
      <c r="K26" s="354"/>
      <c r="L26" s="354"/>
      <c r="M26" s="354"/>
      <c r="N26" s="354"/>
      <c r="O26" s="354"/>
    </row>
    <row r="27" spans="1:15" ht="15" x14ac:dyDescent="0.25">
      <c r="A27" s="184" t="s">
        <v>328</v>
      </c>
      <c r="B27" s="184"/>
      <c r="C27" s="185"/>
      <c r="D27" s="185"/>
      <c r="E27" s="184"/>
      <c r="F27" s="184"/>
      <c r="G27" s="184"/>
      <c r="H27" s="383"/>
      <c r="I27" s="184"/>
      <c r="J27" s="459"/>
      <c r="K27" s="459"/>
      <c r="L27" s="459"/>
      <c r="M27" s="459"/>
      <c r="N27" s="459"/>
      <c r="O27" s="186"/>
    </row>
    <row r="28" spans="1:15" ht="30" x14ac:dyDescent="0.25">
      <c r="A28" s="482" t="s">
        <v>8</v>
      </c>
      <c r="B28" s="482" t="s">
        <v>7</v>
      </c>
      <c r="C28" s="482" t="s">
        <v>92</v>
      </c>
      <c r="D28" s="482" t="s">
        <v>128</v>
      </c>
      <c r="E28" s="327" t="s">
        <v>33</v>
      </c>
      <c r="F28" s="327" t="s">
        <v>45</v>
      </c>
      <c r="G28" s="482" t="s">
        <v>22</v>
      </c>
      <c r="H28" s="483">
        <v>41820</v>
      </c>
      <c r="I28" s="482" t="s">
        <v>138</v>
      </c>
      <c r="J28" s="88">
        <v>2.7230235199999999</v>
      </c>
      <c r="K28" s="88">
        <v>-1.61470856</v>
      </c>
      <c r="L28" s="488">
        <v>1.10831496</v>
      </c>
      <c r="M28" s="379"/>
      <c r="N28" s="379"/>
      <c r="O28" s="379"/>
    </row>
    <row r="29" spans="1:15" ht="30" x14ac:dyDescent="0.25">
      <c r="A29" s="485" t="s">
        <v>8</v>
      </c>
      <c r="B29" s="485" t="s">
        <v>7</v>
      </c>
      <c r="C29" s="485" t="s">
        <v>92</v>
      </c>
      <c r="D29" s="485" t="s">
        <v>128</v>
      </c>
      <c r="E29" s="485" t="s">
        <v>33</v>
      </c>
      <c r="F29" s="485" t="s">
        <v>45</v>
      </c>
      <c r="G29" s="485" t="s">
        <v>22</v>
      </c>
      <c r="H29" s="385">
        <v>42185</v>
      </c>
      <c r="I29" s="485" t="s">
        <v>139</v>
      </c>
      <c r="J29" s="379">
        <v>1.5495680000000001</v>
      </c>
      <c r="K29" s="379">
        <v>0</v>
      </c>
      <c r="L29" s="489">
        <v>1.5495680000000001</v>
      </c>
      <c r="M29" s="380"/>
      <c r="N29" s="380"/>
      <c r="O29" s="380"/>
    </row>
    <row r="30" spans="1:15" ht="30" x14ac:dyDescent="0.25">
      <c r="A30" s="482" t="s">
        <v>8</v>
      </c>
      <c r="B30" s="482" t="s">
        <v>7</v>
      </c>
      <c r="C30" s="482" t="s">
        <v>92</v>
      </c>
      <c r="D30" s="482" t="s">
        <v>128</v>
      </c>
      <c r="E30" s="482" t="s">
        <v>33</v>
      </c>
      <c r="F30" s="482" t="s">
        <v>45</v>
      </c>
      <c r="G30" s="482" t="s">
        <v>22</v>
      </c>
      <c r="H30" s="386">
        <v>42551</v>
      </c>
      <c r="I30" s="482" t="s">
        <v>301</v>
      </c>
      <c r="J30" s="380">
        <v>0.72236800000000001</v>
      </c>
      <c r="K30" s="380">
        <v>0</v>
      </c>
      <c r="L30" s="488">
        <v>0.72236800000000001</v>
      </c>
      <c r="M30" s="379"/>
      <c r="N30" s="379"/>
      <c r="O30" s="379"/>
    </row>
    <row r="31" spans="1:15" ht="30" x14ac:dyDescent="0.25">
      <c r="A31" s="485" t="s">
        <v>8</v>
      </c>
      <c r="B31" s="485" t="s">
        <v>7</v>
      </c>
      <c r="C31" s="485" t="s">
        <v>92</v>
      </c>
      <c r="D31" s="485" t="s">
        <v>128</v>
      </c>
      <c r="E31" s="485" t="s">
        <v>33</v>
      </c>
      <c r="F31" s="485" t="s">
        <v>45</v>
      </c>
      <c r="G31" s="485" t="s">
        <v>22</v>
      </c>
      <c r="H31" s="385">
        <v>42916</v>
      </c>
      <c r="I31" s="485" t="s">
        <v>346</v>
      </c>
      <c r="J31" s="379">
        <v>0</v>
      </c>
      <c r="K31" s="379">
        <v>0</v>
      </c>
      <c r="L31" s="490">
        <v>0</v>
      </c>
      <c r="M31" s="380"/>
      <c r="N31" s="380"/>
      <c r="O31" s="380"/>
    </row>
    <row r="32" spans="1:15" ht="15" x14ac:dyDescent="0.25">
      <c r="A32" s="181" t="s">
        <v>325</v>
      </c>
      <c r="B32" s="181"/>
      <c r="C32" s="181"/>
      <c r="D32" s="181"/>
      <c r="E32" s="182"/>
      <c r="F32" s="181"/>
      <c r="G32" s="181"/>
      <c r="H32" s="183" t="s">
        <v>206</v>
      </c>
      <c r="I32" s="181"/>
      <c r="J32" s="354">
        <v>4.9949595200000001</v>
      </c>
      <c r="K32" s="354">
        <v>-1.61470856</v>
      </c>
      <c r="L32" s="354">
        <v>3.3802509600000001</v>
      </c>
      <c r="M32" s="354">
        <v>3.4480495200000001</v>
      </c>
      <c r="N32" s="354">
        <v>-6.7798560000000077E-2</v>
      </c>
      <c r="O32" s="354"/>
    </row>
    <row r="33" spans="1:15" ht="30" x14ac:dyDescent="0.25">
      <c r="A33" s="181" t="s">
        <v>331</v>
      </c>
      <c r="B33" s="181"/>
      <c r="C33" s="181"/>
      <c r="D33" s="181"/>
      <c r="E33" s="182"/>
      <c r="F33" s="181"/>
      <c r="G33" s="181"/>
      <c r="H33" s="183"/>
      <c r="I33" s="181"/>
      <c r="J33" s="354">
        <f>J32 + J25</f>
        <v>5.9160881200000004</v>
      </c>
      <c r="K33" s="354">
        <f>K32 + K25</f>
        <v>-2.5358371599999998</v>
      </c>
      <c r="L33" s="354">
        <f>L32 + L25</f>
        <v>3.3802509600000001</v>
      </c>
      <c r="M33" s="354">
        <f>M32 + M25</f>
        <v>3.4482290440000001</v>
      </c>
      <c r="N33" s="354">
        <f>IF(AND(N32&gt;0, N25&gt;0),N32 + N25,IF(AND(N32&gt;0, N25&lt;=0),N32,IF(AND(N32&lt;0, N25&gt;=0), N25,0)))</f>
        <v>0</v>
      </c>
      <c r="O33" s="354"/>
    </row>
    <row r="34" spans="1:15" ht="15" x14ac:dyDescent="0.25">
      <c r="A34" s="184" t="s">
        <v>298</v>
      </c>
      <c r="B34" s="184"/>
      <c r="C34" s="185"/>
      <c r="D34" s="185"/>
      <c r="E34" s="184"/>
      <c r="F34" s="184"/>
      <c r="G34" s="184"/>
      <c r="H34" s="383"/>
      <c r="I34" s="184"/>
      <c r="J34" s="403"/>
      <c r="K34" s="403"/>
      <c r="L34" s="403"/>
      <c r="M34" s="403"/>
      <c r="N34" s="403"/>
      <c r="O34" s="404"/>
    </row>
    <row r="35" spans="1:15" ht="15" x14ac:dyDescent="0.25">
      <c r="A35" s="901" t="s">
        <v>325</v>
      </c>
      <c r="B35" s="902"/>
      <c r="C35" s="902"/>
      <c r="D35" s="902"/>
      <c r="E35" s="902"/>
      <c r="F35" s="902"/>
      <c r="G35" s="902"/>
      <c r="H35" s="902"/>
      <c r="I35" s="902"/>
      <c r="J35" s="902"/>
      <c r="K35" s="902"/>
      <c r="L35" s="902"/>
      <c r="M35" s="902"/>
      <c r="N35" s="902"/>
      <c r="O35" s="903"/>
    </row>
    <row r="36" spans="1:15" ht="60" x14ac:dyDescent="0.25">
      <c r="A36" s="176" t="s">
        <v>89</v>
      </c>
      <c r="B36" s="176" t="s">
        <v>90</v>
      </c>
      <c r="C36" s="177" t="s">
        <v>0</v>
      </c>
      <c r="D36" s="177" t="s">
        <v>124</v>
      </c>
      <c r="E36" s="176" t="s">
        <v>143</v>
      </c>
      <c r="F36" s="176" t="s">
        <v>144</v>
      </c>
      <c r="G36" s="176" t="s">
        <v>13</v>
      </c>
      <c r="H36" s="382" t="s">
        <v>88</v>
      </c>
      <c r="I36" s="176" t="s">
        <v>12</v>
      </c>
      <c r="J36" s="400" t="s">
        <v>200</v>
      </c>
      <c r="K36" s="400" t="s">
        <v>199</v>
      </c>
      <c r="L36" s="400" t="s">
        <v>201</v>
      </c>
      <c r="M36" s="400" t="s">
        <v>149</v>
      </c>
      <c r="N36" s="400" t="s">
        <v>179</v>
      </c>
      <c r="O36" s="400" t="s">
        <v>304</v>
      </c>
    </row>
    <row r="37" spans="1:15" ht="30" x14ac:dyDescent="0.25">
      <c r="A37" s="485" t="s">
        <v>84</v>
      </c>
      <c r="B37" s="485" t="s">
        <v>9</v>
      </c>
      <c r="C37" s="485" t="s">
        <v>183</v>
      </c>
      <c r="D37" s="485" t="s">
        <v>142</v>
      </c>
      <c r="E37" s="329" t="s">
        <v>142</v>
      </c>
      <c r="F37" s="485" t="s">
        <v>142</v>
      </c>
      <c r="G37" s="485" t="s">
        <v>22</v>
      </c>
      <c r="H37" s="93">
        <v>41449</v>
      </c>
      <c r="I37" s="485" t="s">
        <v>172</v>
      </c>
      <c r="J37" s="96">
        <v>7.0349999999999996E-2</v>
      </c>
      <c r="K37" s="96" t="s">
        <v>299</v>
      </c>
      <c r="L37" s="292">
        <v>7.0349999999999996E-2</v>
      </c>
      <c r="M37" s="292">
        <f>+O37*50000/1000000</f>
        <v>6.6104999999999997E-2</v>
      </c>
      <c r="N37" s="292">
        <f>M37-L37</f>
        <v>-4.2449999999999988E-3</v>
      </c>
      <c r="O37" s="486">
        <v>1.3221000000000001</v>
      </c>
    </row>
    <row r="38" spans="1:15" ht="30" x14ac:dyDescent="0.25">
      <c r="A38" s="111" t="s">
        <v>297</v>
      </c>
      <c r="B38" s="99"/>
      <c r="C38" s="2"/>
      <c r="D38" s="2"/>
      <c r="E38" s="2"/>
      <c r="F38" s="2"/>
      <c r="G38" s="2"/>
      <c r="H38" s="3"/>
      <c r="I38" s="2"/>
      <c r="J38" s="293"/>
      <c r="K38" s="293"/>
      <c r="L38" s="491">
        <f>L37</f>
        <v>7.0349999999999996E-2</v>
      </c>
      <c r="M38" s="144"/>
      <c r="N38" s="491">
        <f>IF(N37&gt;0,N37,0)</f>
        <v>0</v>
      </c>
      <c r="O38" s="144"/>
    </row>
    <row r="39" spans="1:15" ht="15" x14ac:dyDescent="0.25">
      <c r="A39" s="99"/>
      <c r="B39" s="99"/>
      <c r="C39" s="99"/>
      <c r="D39" s="99"/>
      <c r="E39" s="99"/>
      <c r="F39" s="99"/>
      <c r="G39" s="99"/>
      <c r="H39" s="388"/>
      <c r="I39" s="99"/>
      <c r="J39" s="144"/>
      <c r="K39" s="144"/>
      <c r="L39" s="144"/>
      <c r="M39" s="144"/>
      <c r="N39" s="144"/>
      <c r="O39" s="144"/>
    </row>
    <row r="40" spans="1:15" ht="15" x14ac:dyDescent="0.25">
      <c r="A40" s="99"/>
      <c r="B40" s="99"/>
      <c r="C40" s="99"/>
      <c r="D40" s="99"/>
      <c r="E40" s="99"/>
      <c r="F40" s="99"/>
      <c r="G40" s="99"/>
      <c r="H40" s="388"/>
      <c r="I40" s="99"/>
      <c r="J40" s="77"/>
      <c r="K40" s="144"/>
      <c r="L40" s="144"/>
      <c r="M40" s="77"/>
      <c r="N40" s="77"/>
      <c r="O40" s="77"/>
    </row>
    <row r="41" spans="1:15" ht="15" x14ac:dyDescent="0.25">
      <c r="A41" s="99"/>
      <c r="B41" s="99"/>
      <c r="C41" s="99"/>
      <c r="D41" s="99"/>
      <c r="E41" s="99"/>
      <c r="F41" s="99"/>
      <c r="G41" s="99"/>
      <c r="H41" s="388"/>
      <c r="I41" s="99"/>
      <c r="J41" s="77"/>
      <c r="K41" s="77"/>
      <c r="L41" s="77"/>
      <c r="M41" s="77"/>
      <c r="N41" s="77"/>
      <c r="O41" s="77"/>
    </row>
    <row r="42" spans="1:15" ht="15" x14ac:dyDescent="0.25">
      <c r="A42" s="99"/>
      <c r="B42" s="99"/>
      <c r="C42" s="99"/>
      <c r="D42" s="99"/>
      <c r="E42" s="99"/>
      <c r="F42" s="99"/>
      <c r="G42" s="99"/>
      <c r="H42" s="388"/>
      <c r="I42" s="99"/>
      <c r="J42" s="77"/>
      <c r="K42" s="77"/>
      <c r="L42" s="77"/>
      <c r="M42" s="77"/>
      <c r="N42" s="77"/>
      <c r="O42" s="77"/>
    </row>
    <row r="43" spans="1:15" ht="15" x14ac:dyDescent="0.25">
      <c r="A43" s="99"/>
      <c r="B43" s="99"/>
      <c r="C43" s="99"/>
      <c r="D43" s="99"/>
      <c r="E43" s="99"/>
      <c r="F43" s="99"/>
      <c r="G43" s="99"/>
      <c r="H43" s="388"/>
      <c r="I43" s="99"/>
      <c r="J43" s="77"/>
      <c r="K43" s="77"/>
      <c r="L43" s="77"/>
      <c r="M43" s="77"/>
      <c r="N43" s="77"/>
      <c r="O43" s="77"/>
    </row>
    <row r="44" spans="1:15" ht="15" x14ac:dyDescent="0.25">
      <c r="A44" s="99"/>
      <c r="B44" s="99"/>
      <c r="C44" s="99"/>
      <c r="D44" s="99"/>
      <c r="E44" s="99"/>
      <c r="F44" s="99"/>
      <c r="G44" s="99"/>
      <c r="H44" s="388"/>
      <c r="I44" s="99"/>
      <c r="J44" s="77"/>
      <c r="K44" s="77"/>
      <c r="L44" s="77"/>
      <c r="M44" s="77"/>
      <c r="N44" s="77"/>
      <c r="O44" s="77"/>
    </row>
    <row r="45" spans="1:15" ht="15" x14ac:dyDescent="0.25">
      <c r="A45" s="99"/>
      <c r="B45" s="99"/>
      <c r="C45" s="99"/>
      <c r="D45" s="99"/>
      <c r="E45" s="99"/>
      <c r="F45" s="99"/>
      <c r="G45" s="99"/>
      <c r="H45" s="388"/>
      <c r="I45" s="99"/>
      <c r="J45" s="77"/>
      <c r="K45" s="77"/>
      <c r="L45" s="77"/>
      <c r="M45" s="77"/>
      <c r="N45" s="77"/>
      <c r="O45" s="77"/>
    </row>
    <row r="46" spans="1:15" ht="15" x14ac:dyDescent="0.25">
      <c r="A46" s="99"/>
      <c r="B46" s="99"/>
      <c r="C46" s="99"/>
      <c r="D46" s="99"/>
      <c r="E46" s="99"/>
      <c r="F46" s="99"/>
      <c r="G46" s="99"/>
      <c r="H46" s="388"/>
      <c r="I46" s="99"/>
      <c r="J46" s="77"/>
      <c r="K46" s="77"/>
      <c r="L46" s="77"/>
      <c r="M46" s="77"/>
      <c r="N46" s="77"/>
      <c r="O46" s="77"/>
    </row>
    <row r="47" spans="1:15" ht="15.6" thickBot="1" x14ac:dyDescent="0.3">
      <c r="A47" s="904"/>
      <c r="B47" s="904"/>
      <c r="C47" s="904"/>
      <c r="D47" s="904"/>
      <c r="E47" s="904"/>
      <c r="F47" s="904"/>
      <c r="G47" s="904"/>
      <c r="H47" s="904"/>
      <c r="I47" s="904"/>
      <c r="J47" s="904"/>
      <c r="K47" s="904"/>
      <c r="L47" s="904"/>
      <c r="M47" s="904"/>
      <c r="N47" s="904"/>
      <c r="O47" s="904"/>
    </row>
    <row r="48" spans="1:15" ht="15.6" x14ac:dyDescent="0.3">
      <c r="A48" s="905"/>
      <c r="B48" s="905"/>
      <c r="C48" s="905"/>
      <c r="D48" s="905"/>
      <c r="E48" s="905"/>
      <c r="F48" s="905"/>
      <c r="G48" s="99"/>
      <c r="H48" s="388"/>
      <c r="I48" s="99"/>
      <c r="J48" s="77"/>
      <c r="K48" s="77"/>
      <c r="L48" s="77"/>
      <c r="M48" s="77"/>
      <c r="N48" s="77"/>
      <c r="O48" s="77"/>
    </row>
    <row r="49" spans="1:15" ht="15.6" x14ac:dyDescent="0.3">
      <c r="A49" s="202"/>
      <c r="B49" s="203"/>
      <c r="C49" s="203"/>
      <c r="D49" s="202"/>
      <c r="E49" s="202"/>
      <c r="F49" s="202"/>
      <c r="G49" s="99"/>
      <c r="H49" s="384"/>
      <c r="I49" s="99"/>
      <c r="J49" s="77"/>
      <c r="K49" s="77"/>
      <c r="L49" s="77"/>
      <c r="M49" s="77"/>
      <c r="N49" s="77"/>
      <c r="O49" s="77"/>
    </row>
    <row r="50" spans="1:15" ht="15" x14ac:dyDescent="0.25">
      <c r="A50" s="391"/>
      <c r="B50" s="391"/>
      <c r="C50" s="391"/>
      <c r="D50" s="391"/>
      <c r="E50" s="391"/>
      <c r="F50" s="391"/>
      <c r="G50" s="99"/>
      <c r="H50" s="388"/>
      <c r="I50" s="99"/>
      <c r="J50" s="77"/>
      <c r="K50" s="77"/>
      <c r="L50" s="77"/>
      <c r="M50" s="77"/>
      <c r="N50" s="77"/>
      <c r="O50" s="77"/>
    </row>
    <row r="51" spans="1:15" ht="15" x14ac:dyDescent="0.25">
      <c r="A51" s="395"/>
      <c r="B51" s="392"/>
      <c r="C51" s="392"/>
      <c r="D51" s="392"/>
      <c r="E51" s="392"/>
      <c r="F51" s="205"/>
      <c r="G51" s="99"/>
      <c r="H51" s="388"/>
      <c r="I51" s="99"/>
      <c r="J51" s="77"/>
      <c r="K51" s="77"/>
      <c r="L51" s="77"/>
      <c r="M51" s="77"/>
      <c r="N51" s="77"/>
      <c r="O51" s="77"/>
    </row>
    <row r="52" spans="1:15" ht="15" x14ac:dyDescent="0.25">
      <c r="A52" s="395"/>
      <c r="B52" s="392"/>
      <c r="C52" s="392"/>
      <c r="D52" s="392"/>
      <c r="E52" s="392"/>
      <c r="F52" s="205"/>
      <c r="G52" s="99"/>
      <c r="H52" s="388"/>
      <c r="I52" s="99"/>
      <c r="J52" s="77"/>
      <c r="K52" s="77"/>
      <c r="L52" s="77"/>
      <c r="M52" s="77"/>
      <c r="N52" s="77"/>
      <c r="O52" s="77"/>
    </row>
    <row r="53" spans="1:15" ht="15" x14ac:dyDescent="0.25">
      <c r="A53" s="391"/>
      <c r="B53" s="392"/>
      <c r="C53" s="392"/>
      <c r="D53" s="392"/>
      <c r="E53" s="392"/>
      <c r="F53" s="205"/>
      <c r="G53" s="99"/>
      <c r="H53" s="388"/>
      <c r="I53" s="99"/>
      <c r="J53" s="77"/>
      <c r="K53" s="77"/>
      <c r="L53" s="77"/>
      <c r="M53" s="77"/>
      <c r="N53" s="77"/>
      <c r="O53" s="77"/>
    </row>
    <row r="54" spans="1:15" ht="15" x14ac:dyDescent="0.25">
      <c r="A54" s="395"/>
      <c r="B54" s="392"/>
      <c r="C54" s="392"/>
      <c r="D54" s="392"/>
      <c r="E54" s="392"/>
      <c r="F54" s="205"/>
      <c r="G54" s="99"/>
      <c r="H54" s="388"/>
      <c r="I54" s="99"/>
      <c r="J54" s="77"/>
      <c r="K54" s="77"/>
      <c r="L54" s="77"/>
      <c r="M54" s="77"/>
      <c r="N54" s="77"/>
      <c r="O54" s="77"/>
    </row>
    <row r="55" spans="1:15" ht="15" x14ac:dyDescent="0.25">
      <c r="A55" s="391"/>
      <c r="B55" s="392"/>
      <c r="C55" s="392"/>
      <c r="D55" s="392"/>
      <c r="E55" s="392"/>
      <c r="F55" s="205"/>
      <c r="G55" s="99"/>
      <c r="H55" s="388"/>
      <c r="I55" s="99"/>
      <c r="J55" s="77"/>
      <c r="K55" s="77"/>
      <c r="L55" s="77"/>
      <c r="M55" s="77"/>
      <c r="N55" s="77"/>
      <c r="O55" s="77"/>
    </row>
    <row r="56" spans="1:15" ht="15" x14ac:dyDescent="0.25">
      <c r="A56" s="391"/>
      <c r="B56" s="392"/>
      <c r="C56" s="392"/>
      <c r="D56" s="392"/>
      <c r="E56" s="392"/>
      <c r="F56" s="205"/>
      <c r="G56" s="99"/>
      <c r="H56" s="388"/>
      <c r="I56" s="99"/>
      <c r="J56" s="77"/>
      <c r="K56" s="77"/>
      <c r="L56" s="77"/>
      <c r="M56" s="77"/>
      <c r="N56" s="77"/>
      <c r="O56" s="77"/>
    </row>
    <row r="57" spans="1:15" ht="16.8" x14ac:dyDescent="0.4">
      <c r="A57" s="391"/>
      <c r="B57" s="393"/>
      <c r="C57" s="393"/>
      <c r="D57" s="393"/>
      <c r="E57" s="393"/>
      <c r="F57" s="207"/>
      <c r="G57" s="99"/>
      <c r="H57" s="389"/>
      <c r="I57" s="99"/>
      <c r="J57" s="77"/>
      <c r="K57" s="77"/>
      <c r="L57" s="77"/>
      <c r="M57" s="77"/>
      <c r="N57" s="77"/>
      <c r="O57" s="77"/>
    </row>
    <row r="58" spans="1:15" ht="16.8" x14ac:dyDescent="0.4">
      <c r="A58" s="391"/>
      <c r="B58" s="394"/>
      <c r="C58" s="394"/>
      <c r="D58" s="394"/>
      <c r="E58" s="394"/>
      <c r="F58" s="210"/>
      <c r="G58" s="99"/>
      <c r="H58" s="390"/>
      <c r="I58" s="99"/>
      <c r="J58" s="77"/>
      <c r="K58" s="77"/>
      <c r="L58" s="77"/>
      <c r="M58" s="77"/>
      <c r="N58" s="77"/>
      <c r="O58" s="77"/>
    </row>
    <row r="59" spans="1:15" ht="15" x14ac:dyDescent="0.25">
      <c r="A59" s="391"/>
      <c r="B59" s="391"/>
      <c r="C59" s="391"/>
      <c r="D59" s="391"/>
      <c r="E59" s="391"/>
      <c r="F59" s="391"/>
      <c r="G59" s="99"/>
      <c r="H59" s="388"/>
      <c r="I59" s="99"/>
      <c r="J59" s="77"/>
      <c r="K59" s="77"/>
      <c r="L59" s="77"/>
      <c r="M59" s="77"/>
      <c r="N59" s="77"/>
      <c r="O59" s="77"/>
    </row>
    <row r="60" spans="1:15" ht="15" x14ac:dyDescent="0.25">
      <c r="A60" s="99"/>
      <c r="B60" s="99"/>
      <c r="C60" s="99"/>
      <c r="D60" s="99"/>
      <c r="E60" s="99"/>
      <c r="F60" s="99"/>
      <c r="G60" s="99"/>
      <c r="H60" s="388"/>
      <c r="I60" s="99"/>
      <c r="J60" s="77"/>
      <c r="K60" s="77"/>
      <c r="L60" s="77"/>
      <c r="M60" s="77"/>
      <c r="N60" s="77"/>
      <c r="O60" s="77"/>
    </row>
    <row r="61" spans="1:15" ht="15" x14ac:dyDescent="0.25">
      <c r="A61" s="99"/>
      <c r="B61" s="99"/>
      <c r="C61" s="99"/>
      <c r="D61" s="99"/>
      <c r="E61" s="99"/>
      <c r="F61" s="99"/>
      <c r="G61" s="99"/>
      <c r="H61" s="388"/>
      <c r="I61" s="99"/>
      <c r="J61" s="77"/>
      <c r="K61" s="77"/>
      <c r="L61" s="77"/>
      <c r="M61" s="77"/>
      <c r="N61" s="77"/>
      <c r="O61" s="77"/>
    </row>
    <row r="62" spans="1:15" ht="15" x14ac:dyDescent="0.25">
      <c r="A62" s="99"/>
      <c r="B62" s="99"/>
      <c r="C62" s="99"/>
      <c r="D62" s="99"/>
      <c r="E62" s="99"/>
      <c r="F62" s="99"/>
      <c r="G62" s="99"/>
      <c r="H62" s="388"/>
      <c r="I62" s="99"/>
      <c r="J62" s="77"/>
      <c r="K62" s="77"/>
      <c r="L62" s="77"/>
      <c r="M62" s="77"/>
      <c r="N62" s="77"/>
      <c r="O62" s="77"/>
    </row>
    <row r="63" spans="1:15" ht="15" x14ac:dyDescent="0.25">
      <c r="A63" s="99"/>
      <c r="B63" s="99"/>
      <c r="C63" s="99"/>
      <c r="D63" s="99"/>
      <c r="E63" s="99"/>
      <c r="F63" s="99"/>
      <c r="G63" s="99"/>
      <c r="H63" s="388"/>
      <c r="I63" s="99"/>
      <c r="J63" s="77"/>
      <c r="K63" s="77"/>
      <c r="L63" s="77"/>
      <c r="M63" s="77"/>
      <c r="N63" s="77"/>
      <c r="O63" s="77"/>
    </row>
    <row r="64" spans="1:15" ht="15" x14ac:dyDescent="0.25">
      <c r="A64" s="99"/>
      <c r="B64" s="99"/>
      <c r="C64" s="99"/>
      <c r="D64" s="99"/>
      <c r="E64" s="99"/>
      <c r="F64" s="99"/>
      <c r="G64" s="99"/>
      <c r="H64" s="388"/>
      <c r="I64" s="99"/>
      <c r="J64" s="77"/>
      <c r="K64" s="77"/>
      <c r="L64" s="77"/>
      <c r="M64" s="77"/>
      <c r="N64" s="77"/>
      <c r="O64" s="77"/>
    </row>
    <row r="65" spans="1:15" ht="15" x14ac:dyDescent="0.25">
      <c r="A65" s="99"/>
      <c r="B65" s="99"/>
      <c r="C65" s="99"/>
      <c r="D65" s="99"/>
      <c r="E65" s="99"/>
      <c r="F65" s="99"/>
      <c r="G65" s="99"/>
      <c r="H65" s="388"/>
      <c r="I65" s="99"/>
      <c r="J65" s="77"/>
      <c r="K65" s="77"/>
      <c r="L65" s="77"/>
      <c r="M65" s="77"/>
      <c r="N65" s="77"/>
      <c r="O65" s="77"/>
    </row>
    <row r="66" spans="1:15" ht="15" x14ac:dyDescent="0.25">
      <c r="A66" s="99"/>
      <c r="B66" s="99"/>
      <c r="C66" s="99"/>
      <c r="D66" s="99"/>
      <c r="E66" s="99"/>
      <c r="F66" s="99"/>
      <c r="G66" s="99"/>
      <c r="H66" s="388"/>
      <c r="I66" s="99"/>
      <c r="J66" s="77"/>
      <c r="K66" s="77"/>
      <c r="L66" s="77"/>
      <c r="M66" s="77"/>
      <c r="N66" s="77"/>
      <c r="O66" s="77"/>
    </row>
    <row r="67" spans="1:15" ht="15" x14ac:dyDescent="0.25">
      <c r="A67" s="99"/>
      <c r="B67" s="99"/>
      <c r="C67" s="99"/>
      <c r="D67" s="99"/>
      <c r="E67" s="99"/>
      <c r="F67" s="99"/>
      <c r="G67" s="99"/>
      <c r="H67" s="388"/>
      <c r="I67" s="99"/>
      <c r="J67" s="77"/>
      <c r="K67" s="77"/>
      <c r="L67" s="77"/>
      <c r="M67" s="77"/>
      <c r="N67" s="77"/>
      <c r="O67" s="77"/>
    </row>
    <row r="68" spans="1:15" ht="15" x14ac:dyDescent="0.25">
      <c r="A68" s="99"/>
      <c r="B68" s="99"/>
      <c r="C68" s="99"/>
      <c r="D68" s="99"/>
      <c r="E68" s="99"/>
      <c r="F68" s="99"/>
      <c r="G68" s="99"/>
      <c r="H68" s="388"/>
      <c r="I68" s="99"/>
      <c r="J68" s="77"/>
      <c r="K68" s="77"/>
      <c r="L68" s="77"/>
      <c r="M68" s="77"/>
      <c r="N68" s="77"/>
      <c r="O68" s="77"/>
    </row>
    <row r="69" spans="1:15" ht="15" x14ac:dyDescent="0.25">
      <c r="A69" s="99"/>
      <c r="B69" s="99"/>
      <c r="C69" s="99"/>
      <c r="D69" s="99"/>
      <c r="E69" s="99"/>
      <c r="F69" s="99"/>
      <c r="G69" s="99"/>
      <c r="H69" s="388"/>
      <c r="I69" s="99"/>
      <c r="J69" s="77"/>
      <c r="K69" s="77"/>
      <c r="L69" s="77"/>
      <c r="M69" s="77"/>
      <c r="N69" s="77"/>
      <c r="O69" s="77"/>
    </row>
    <row r="70" spans="1:15" ht="15" x14ac:dyDescent="0.25">
      <c r="A70" s="99"/>
      <c r="B70" s="99"/>
      <c r="C70" s="99"/>
      <c r="D70" s="99"/>
      <c r="E70" s="99"/>
      <c r="F70" s="99"/>
      <c r="G70" s="99"/>
      <c r="H70" s="388"/>
      <c r="I70" s="99"/>
      <c r="J70" s="77"/>
      <c r="K70" s="77"/>
      <c r="L70" s="77"/>
      <c r="M70" s="77"/>
      <c r="N70" s="77"/>
      <c r="O70" s="77"/>
    </row>
    <row r="71" spans="1:15" ht="15" x14ac:dyDescent="0.25">
      <c r="A71" s="99"/>
      <c r="B71" s="99"/>
      <c r="C71" s="99"/>
      <c r="D71" s="99"/>
      <c r="E71" s="99"/>
      <c r="F71" s="99"/>
      <c r="G71" s="99"/>
      <c r="H71" s="388"/>
      <c r="I71" s="99"/>
      <c r="J71" s="77"/>
      <c r="K71" s="77"/>
      <c r="L71" s="77"/>
      <c r="M71" s="77"/>
      <c r="N71" s="77"/>
      <c r="O71" s="77"/>
    </row>
    <row r="72" spans="1:15" ht="15" x14ac:dyDescent="0.25">
      <c r="A72" s="99"/>
      <c r="B72" s="99"/>
      <c r="C72" s="99"/>
      <c r="D72" s="99"/>
      <c r="E72" s="99"/>
      <c r="F72" s="99"/>
      <c r="G72" s="99"/>
      <c r="H72" s="388"/>
      <c r="I72" s="99"/>
      <c r="J72" s="77"/>
      <c r="K72" s="77"/>
      <c r="L72" s="77"/>
      <c r="M72" s="77"/>
      <c r="N72" s="77"/>
      <c r="O72" s="77"/>
    </row>
    <row r="73" spans="1:15" ht="15" x14ac:dyDescent="0.25">
      <c r="A73" s="99"/>
      <c r="B73" s="99"/>
      <c r="C73" s="99"/>
      <c r="D73" s="99"/>
      <c r="E73" s="99"/>
      <c r="F73" s="99"/>
      <c r="G73" s="99"/>
      <c r="H73" s="388"/>
      <c r="I73" s="99"/>
      <c r="J73" s="77"/>
      <c r="K73" s="77"/>
      <c r="L73" s="77"/>
      <c r="M73" s="77"/>
      <c r="N73" s="77"/>
      <c r="O73" s="77"/>
    </row>
    <row r="74" spans="1:15" ht="15" x14ac:dyDescent="0.25">
      <c r="A74" s="99"/>
      <c r="B74" s="99"/>
      <c r="C74" s="99"/>
      <c r="D74" s="99"/>
      <c r="E74" s="99"/>
      <c r="F74" s="99"/>
      <c r="G74" s="99"/>
      <c r="H74" s="388"/>
      <c r="I74" s="99"/>
      <c r="J74" s="77"/>
      <c r="K74" s="77"/>
      <c r="L74" s="77"/>
      <c r="M74" s="77"/>
      <c r="N74" s="77"/>
      <c r="O74" s="77"/>
    </row>
    <row r="75" spans="1:15" ht="15" x14ac:dyDescent="0.25">
      <c r="A75" s="99"/>
      <c r="B75" s="99"/>
      <c r="C75" s="99"/>
      <c r="D75" s="99"/>
      <c r="E75" s="99"/>
      <c r="F75" s="99"/>
      <c r="G75" s="99"/>
      <c r="H75" s="388"/>
      <c r="I75" s="99"/>
      <c r="J75" s="77"/>
      <c r="K75" s="77"/>
      <c r="L75" s="77"/>
      <c r="M75" s="77"/>
      <c r="N75" s="77"/>
      <c r="O75" s="77"/>
    </row>
    <row r="76" spans="1:15" ht="15" x14ac:dyDescent="0.25">
      <c r="A76" s="99"/>
      <c r="B76" s="99"/>
      <c r="C76" s="99"/>
      <c r="D76" s="99"/>
      <c r="E76" s="99"/>
      <c r="F76" s="99"/>
      <c r="G76" s="99"/>
      <c r="H76" s="388"/>
      <c r="I76" s="99"/>
      <c r="J76" s="77"/>
      <c r="K76" s="77"/>
      <c r="L76" s="77"/>
      <c r="M76" s="77"/>
      <c r="N76" s="77"/>
      <c r="O76" s="77"/>
    </row>
    <row r="77" spans="1:15" ht="15" x14ac:dyDescent="0.25">
      <c r="A77" s="99"/>
      <c r="B77" s="99"/>
      <c r="C77" s="99"/>
      <c r="D77" s="99"/>
      <c r="E77" s="99"/>
      <c r="F77" s="99"/>
      <c r="G77" s="99"/>
      <c r="H77" s="388"/>
      <c r="I77" s="99"/>
      <c r="J77" s="77"/>
      <c r="K77" s="77"/>
      <c r="L77" s="77"/>
      <c r="M77" s="77"/>
      <c r="N77" s="77"/>
      <c r="O77" s="77"/>
    </row>
    <row r="78" spans="1:15" ht="15" x14ac:dyDescent="0.25">
      <c r="A78" s="99"/>
      <c r="B78" s="99"/>
      <c r="C78" s="99"/>
      <c r="D78" s="99"/>
      <c r="E78" s="99"/>
      <c r="F78" s="99"/>
      <c r="G78" s="99"/>
      <c r="H78" s="388"/>
      <c r="I78" s="99"/>
      <c r="J78" s="77"/>
      <c r="K78" s="77"/>
      <c r="L78" s="77"/>
      <c r="M78" s="77"/>
      <c r="N78" s="77"/>
      <c r="O78" s="77"/>
    </row>
    <row r="79" spans="1:15" ht="15" x14ac:dyDescent="0.25">
      <c r="A79" s="99"/>
      <c r="B79" s="99"/>
      <c r="C79" s="99"/>
      <c r="D79" s="99"/>
      <c r="E79" s="99"/>
      <c r="F79" s="99"/>
      <c r="G79" s="99"/>
      <c r="H79" s="388"/>
      <c r="I79" s="99"/>
      <c r="J79" s="77"/>
      <c r="K79" s="77"/>
      <c r="L79" s="77"/>
      <c r="M79" s="77"/>
      <c r="N79" s="77"/>
      <c r="O79" s="77"/>
    </row>
    <row r="80" spans="1:15" ht="15" x14ac:dyDescent="0.25">
      <c r="A80" s="99"/>
      <c r="B80" s="99"/>
      <c r="C80" s="99"/>
      <c r="D80" s="99"/>
      <c r="E80" s="99"/>
      <c r="F80" s="99"/>
      <c r="G80" s="99"/>
      <c r="H80" s="388"/>
      <c r="I80" s="99"/>
      <c r="J80" s="77"/>
      <c r="K80" s="77"/>
      <c r="L80" s="77"/>
      <c r="M80" s="77"/>
      <c r="N80" s="77"/>
      <c r="O80" s="77"/>
    </row>
    <row r="81" spans="1:15" ht="15" x14ac:dyDescent="0.25">
      <c r="A81" s="99"/>
      <c r="B81" s="99"/>
      <c r="C81" s="99"/>
      <c r="D81" s="99"/>
      <c r="E81" s="99"/>
      <c r="F81" s="99"/>
      <c r="G81" s="99"/>
      <c r="H81" s="388"/>
      <c r="I81" s="99"/>
      <c r="J81" s="77"/>
      <c r="K81" s="77"/>
      <c r="L81" s="77"/>
      <c r="M81" s="77"/>
      <c r="N81" s="77"/>
      <c r="O81" s="77"/>
    </row>
    <row r="82" spans="1:15" ht="15" x14ac:dyDescent="0.25">
      <c r="A82" s="99"/>
      <c r="B82" s="99"/>
      <c r="C82" s="99"/>
      <c r="D82" s="99"/>
      <c r="E82" s="99"/>
      <c r="F82" s="99"/>
      <c r="G82" s="99"/>
      <c r="H82" s="388"/>
      <c r="I82" s="99"/>
      <c r="J82" s="77"/>
      <c r="K82" s="77"/>
      <c r="L82" s="77"/>
      <c r="M82" s="77"/>
      <c r="N82" s="77"/>
      <c r="O82" s="77"/>
    </row>
    <row r="83" spans="1:15" ht="15" x14ac:dyDescent="0.25">
      <c r="A83" s="99"/>
      <c r="B83" s="99"/>
      <c r="C83" s="99"/>
      <c r="D83" s="99"/>
      <c r="E83" s="99"/>
      <c r="F83" s="99"/>
      <c r="G83" s="99"/>
      <c r="H83" s="388"/>
      <c r="I83" s="99"/>
      <c r="J83" s="77"/>
      <c r="K83" s="77"/>
      <c r="L83" s="77"/>
      <c r="M83" s="77"/>
      <c r="N83" s="77"/>
      <c r="O83" s="77"/>
    </row>
    <row r="84" spans="1:15" ht="15" x14ac:dyDescent="0.25">
      <c r="A84" s="99"/>
      <c r="B84" s="99"/>
      <c r="C84" s="99"/>
      <c r="D84" s="99"/>
      <c r="E84" s="99"/>
      <c r="F84" s="99"/>
      <c r="G84" s="99"/>
      <c r="H84" s="388"/>
      <c r="I84" s="99"/>
      <c r="J84" s="77"/>
      <c r="K84" s="77"/>
      <c r="L84" s="77"/>
      <c r="M84" s="77"/>
      <c r="N84" s="77"/>
      <c r="O84" s="77"/>
    </row>
    <row r="85" spans="1:15" ht="15" x14ac:dyDescent="0.25">
      <c r="A85" s="99"/>
      <c r="B85" s="99"/>
      <c r="C85" s="99"/>
      <c r="D85" s="99"/>
      <c r="E85" s="99"/>
      <c r="F85" s="99"/>
      <c r="G85" s="99"/>
      <c r="H85" s="388"/>
      <c r="I85" s="99"/>
      <c r="J85" s="77"/>
      <c r="K85" s="77"/>
      <c r="L85" s="77"/>
      <c r="M85" s="77"/>
      <c r="N85" s="77"/>
      <c r="O85" s="77"/>
    </row>
    <row r="86" spans="1:15" ht="15" x14ac:dyDescent="0.25">
      <c r="A86" s="99"/>
      <c r="B86" s="99"/>
      <c r="C86" s="99"/>
      <c r="D86" s="99"/>
      <c r="E86" s="99"/>
      <c r="F86" s="99"/>
      <c r="G86" s="99"/>
      <c r="H86" s="388"/>
      <c r="I86" s="99"/>
      <c r="J86" s="77"/>
      <c r="K86" s="77"/>
      <c r="L86" s="77"/>
      <c r="M86" s="77"/>
      <c r="N86" s="77"/>
      <c r="O86" s="77"/>
    </row>
    <row r="87" spans="1:15" ht="15" x14ac:dyDescent="0.25">
      <c r="A87" s="99"/>
      <c r="B87" s="99"/>
      <c r="C87" s="99"/>
      <c r="D87" s="99"/>
      <c r="E87" s="99"/>
      <c r="F87" s="99"/>
      <c r="G87" s="99"/>
      <c r="H87" s="388"/>
      <c r="I87" s="99"/>
      <c r="J87" s="77"/>
      <c r="K87" s="77"/>
      <c r="L87" s="77"/>
      <c r="M87" s="77"/>
      <c r="N87" s="77"/>
      <c r="O87" s="77"/>
    </row>
    <row r="88" spans="1:15" ht="15" x14ac:dyDescent="0.25">
      <c r="A88" s="99"/>
      <c r="B88" s="99"/>
      <c r="C88" s="99"/>
      <c r="D88" s="99"/>
      <c r="E88" s="99"/>
      <c r="F88" s="99"/>
      <c r="G88" s="99"/>
      <c r="H88" s="388"/>
      <c r="I88" s="99"/>
      <c r="J88" s="77"/>
      <c r="K88" s="77"/>
      <c r="L88" s="77"/>
      <c r="M88" s="77"/>
      <c r="N88" s="77"/>
      <c r="O88" s="77"/>
    </row>
    <row r="89" spans="1:15" ht="15" x14ac:dyDescent="0.25">
      <c r="A89" s="99"/>
      <c r="B89" s="99"/>
      <c r="C89" s="99"/>
      <c r="D89" s="99"/>
      <c r="E89" s="99"/>
      <c r="F89" s="99"/>
      <c r="G89" s="99"/>
      <c r="H89" s="388"/>
      <c r="I89" s="99"/>
      <c r="J89" s="77"/>
      <c r="K89" s="77"/>
      <c r="L89" s="77"/>
      <c r="M89" s="77"/>
      <c r="N89" s="77"/>
      <c r="O89" s="77"/>
    </row>
    <row r="90" spans="1:15" ht="15" x14ac:dyDescent="0.25">
      <c r="A90" s="99"/>
      <c r="B90" s="99"/>
      <c r="C90" s="99"/>
      <c r="D90" s="99"/>
      <c r="E90" s="99"/>
      <c r="F90" s="99"/>
      <c r="G90" s="99"/>
      <c r="H90" s="388"/>
      <c r="I90" s="99"/>
      <c r="J90" s="77"/>
      <c r="K90" s="77"/>
      <c r="L90" s="77"/>
      <c r="M90" s="77"/>
      <c r="N90" s="77"/>
      <c r="O90" s="77"/>
    </row>
    <row r="91" spans="1:15" ht="15" x14ac:dyDescent="0.25">
      <c r="A91" s="99"/>
      <c r="B91" s="99"/>
      <c r="C91" s="99"/>
      <c r="D91" s="99"/>
      <c r="E91" s="99"/>
      <c r="F91" s="99"/>
      <c r="G91" s="99"/>
      <c r="H91" s="388"/>
      <c r="I91" s="99"/>
      <c r="J91" s="77"/>
      <c r="K91" s="77"/>
      <c r="L91" s="77"/>
      <c r="M91" s="77"/>
      <c r="N91" s="77"/>
      <c r="O91" s="77"/>
    </row>
    <row r="92" spans="1:15" ht="15" x14ac:dyDescent="0.25">
      <c r="A92" s="99"/>
      <c r="B92" s="99"/>
      <c r="C92" s="99"/>
      <c r="D92" s="99"/>
      <c r="E92" s="99"/>
      <c r="F92" s="99"/>
      <c r="G92" s="99"/>
      <c r="H92" s="388"/>
      <c r="I92" s="99"/>
      <c r="J92" s="77"/>
      <c r="K92" s="77"/>
      <c r="L92" s="77"/>
      <c r="M92" s="77"/>
      <c r="N92" s="77"/>
      <c r="O92" s="77"/>
    </row>
    <row r="93" spans="1:15" ht="15" x14ac:dyDescent="0.25">
      <c r="A93" s="99"/>
      <c r="B93" s="99"/>
      <c r="C93" s="99"/>
      <c r="D93" s="99"/>
      <c r="E93" s="99"/>
      <c r="F93" s="99"/>
      <c r="G93" s="99"/>
      <c r="H93" s="388"/>
      <c r="I93" s="99"/>
      <c r="J93" s="77"/>
      <c r="K93" s="77"/>
      <c r="L93" s="77"/>
      <c r="M93" s="77"/>
      <c r="N93" s="77"/>
      <c r="O93" s="77"/>
    </row>
    <row r="94" spans="1:15" ht="15" x14ac:dyDescent="0.25">
      <c r="A94" s="99"/>
      <c r="B94" s="99"/>
      <c r="C94" s="99"/>
      <c r="D94" s="99"/>
      <c r="E94" s="99"/>
      <c r="F94" s="99"/>
      <c r="G94" s="99"/>
      <c r="H94" s="388"/>
      <c r="I94" s="99"/>
      <c r="J94" s="77"/>
      <c r="K94" s="77"/>
      <c r="L94" s="77"/>
      <c r="M94" s="77"/>
      <c r="N94" s="77"/>
      <c r="O94" s="77"/>
    </row>
    <row r="95" spans="1:15" ht="15" x14ac:dyDescent="0.25">
      <c r="A95" s="99"/>
      <c r="B95" s="99"/>
      <c r="C95" s="99"/>
      <c r="D95" s="99"/>
      <c r="E95" s="99"/>
      <c r="F95" s="99"/>
      <c r="G95" s="99"/>
      <c r="H95" s="388"/>
      <c r="I95" s="99"/>
      <c r="J95" s="77"/>
      <c r="K95" s="77"/>
      <c r="L95" s="77"/>
      <c r="M95" s="77"/>
      <c r="N95" s="77"/>
      <c r="O95" s="77"/>
    </row>
    <row r="96" spans="1:15" ht="15" x14ac:dyDescent="0.25">
      <c r="A96" s="99"/>
      <c r="B96" s="99"/>
      <c r="C96" s="99"/>
      <c r="D96" s="99"/>
      <c r="E96" s="99"/>
      <c r="F96" s="99"/>
      <c r="G96" s="99"/>
      <c r="H96" s="388"/>
      <c r="I96" s="99"/>
      <c r="J96" s="77"/>
      <c r="K96" s="77"/>
      <c r="L96" s="77"/>
      <c r="M96" s="77"/>
      <c r="N96" s="77"/>
      <c r="O96" s="77"/>
    </row>
    <row r="97" spans="1:15" ht="15" x14ac:dyDescent="0.25">
      <c r="A97" s="99"/>
      <c r="B97" s="99"/>
      <c r="C97" s="99"/>
      <c r="D97" s="99"/>
      <c r="E97" s="99"/>
      <c r="F97" s="99"/>
      <c r="G97" s="99"/>
      <c r="H97" s="388"/>
      <c r="I97" s="99"/>
      <c r="J97" s="77"/>
      <c r="K97" s="77"/>
      <c r="L97" s="77"/>
      <c r="M97" s="77"/>
      <c r="N97" s="77"/>
      <c r="O97" s="77"/>
    </row>
    <row r="98" spans="1:15" ht="15" x14ac:dyDescent="0.25">
      <c r="A98" s="99"/>
      <c r="B98" s="99"/>
      <c r="C98" s="99"/>
      <c r="D98" s="99"/>
      <c r="E98" s="99"/>
      <c r="F98" s="99"/>
      <c r="G98" s="99"/>
      <c r="H98" s="388"/>
      <c r="I98" s="99"/>
      <c r="J98" s="77"/>
      <c r="K98" s="77"/>
      <c r="L98" s="77"/>
      <c r="M98" s="77"/>
      <c r="N98" s="77"/>
      <c r="O98" s="77"/>
    </row>
    <row r="99" spans="1:15" ht="15" x14ac:dyDescent="0.25">
      <c r="A99" s="99"/>
      <c r="B99" s="99"/>
      <c r="C99" s="99"/>
      <c r="D99" s="99"/>
      <c r="E99" s="99"/>
      <c r="F99" s="99"/>
      <c r="G99" s="99"/>
      <c r="H99" s="388"/>
      <c r="I99" s="99"/>
      <c r="J99" s="77"/>
      <c r="K99" s="77"/>
      <c r="L99" s="77"/>
      <c r="M99" s="77"/>
      <c r="N99" s="77"/>
      <c r="O99" s="77"/>
    </row>
    <row r="100" spans="1:15" ht="15.6" thickBot="1" x14ac:dyDescent="0.3">
      <c r="A100" s="99"/>
      <c r="B100" s="99"/>
      <c r="C100" s="99"/>
      <c r="D100" s="99"/>
      <c r="E100" s="99"/>
      <c r="F100" s="99"/>
      <c r="G100" s="99"/>
      <c r="H100" s="388"/>
      <c r="I100" s="99"/>
      <c r="J100" s="77"/>
      <c r="K100" s="77"/>
      <c r="L100" s="77"/>
      <c r="M100" s="77"/>
      <c r="N100" s="77"/>
      <c r="O100" s="77"/>
    </row>
    <row r="101" spans="1:15" ht="15" x14ac:dyDescent="0.25">
      <c r="A101" s="894" t="s">
        <v>195</v>
      </c>
      <c r="B101" s="895"/>
      <c r="C101" s="895"/>
      <c r="D101" s="895"/>
      <c r="E101" s="895"/>
      <c r="F101" s="896"/>
      <c r="G101" s="99"/>
      <c r="H101" s="388"/>
      <c r="I101" s="99"/>
      <c r="J101" s="77"/>
      <c r="K101" s="77"/>
      <c r="L101" s="77"/>
      <c r="M101" s="77"/>
      <c r="N101" s="77"/>
      <c r="O101" s="77"/>
    </row>
    <row r="102" spans="1:15" ht="15.6" thickBot="1" x14ac:dyDescent="0.3">
      <c r="A102" s="897"/>
      <c r="B102" s="898"/>
      <c r="C102" s="898"/>
      <c r="D102" s="898"/>
      <c r="E102" s="898"/>
      <c r="F102" s="899"/>
      <c r="G102" s="99"/>
      <c r="H102" s="388"/>
      <c r="I102" s="99"/>
      <c r="J102" s="77"/>
      <c r="K102" s="77"/>
      <c r="L102" s="77"/>
      <c r="M102" s="77"/>
      <c r="N102" s="77"/>
      <c r="O102" s="77"/>
    </row>
    <row r="103" spans="1:15" ht="15" x14ac:dyDescent="0.25">
      <c r="A103" s="162" t="s">
        <v>5</v>
      </c>
      <c r="B103" s="161" t="s">
        <v>6</v>
      </c>
      <c r="C103" s="161" t="s">
        <v>13</v>
      </c>
      <c r="D103" s="161" t="s">
        <v>82</v>
      </c>
      <c r="E103" s="161" t="s">
        <v>115</v>
      </c>
      <c r="F103" s="163" t="s">
        <v>116</v>
      </c>
      <c r="G103" s="99"/>
      <c r="H103" s="388"/>
      <c r="I103" s="99"/>
      <c r="J103" s="77"/>
      <c r="K103" s="77"/>
      <c r="L103" s="77"/>
      <c r="M103" s="77"/>
      <c r="N103" s="77"/>
      <c r="O103" s="77"/>
    </row>
    <row r="104" spans="1:15" ht="15" x14ac:dyDescent="0.25">
      <c r="A104" s="396" t="s">
        <v>239</v>
      </c>
      <c r="B104" s="106"/>
      <c r="C104" s="106"/>
      <c r="D104" s="106"/>
      <c r="E104" s="106"/>
      <c r="F104" s="107"/>
      <c r="G104" s="99"/>
      <c r="H104" s="388"/>
      <c r="I104" s="99"/>
      <c r="J104" s="77"/>
      <c r="K104" s="77"/>
      <c r="L104" s="77"/>
      <c r="M104" s="77"/>
      <c r="N104" s="77"/>
      <c r="O104" s="77"/>
    </row>
    <row r="105" spans="1:15" ht="30" x14ac:dyDescent="0.25">
      <c r="A105" s="396" t="s">
        <v>91</v>
      </c>
      <c r="B105" s="106" t="s">
        <v>190</v>
      </c>
      <c r="C105" s="106" t="s">
        <v>18</v>
      </c>
      <c r="D105" s="106" t="s">
        <v>8</v>
      </c>
      <c r="E105" s="106" t="s">
        <v>36</v>
      </c>
      <c r="F105" s="107" t="s">
        <v>29</v>
      </c>
      <c r="G105" s="99"/>
      <c r="H105" s="388"/>
      <c r="I105" s="99"/>
      <c r="J105" s="77"/>
      <c r="K105" s="77"/>
      <c r="L105" s="77"/>
      <c r="M105" s="77"/>
      <c r="N105" s="77"/>
      <c r="O105" s="77"/>
    </row>
    <row r="106" spans="1:15" ht="30" x14ac:dyDescent="0.25">
      <c r="A106" s="397" t="s">
        <v>27</v>
      </c>
      <c r="B106" s="106" t="s">
        <v>192</v>
      </c>
      <c r="C106" s="106" t="s">
        <v>15</v>
      </c>
      <c r="D106" s="106" t="s">
        <v>84</v>
      </c>
      <c r="E106" s="106" t="s">
        <v>35</v>
      </c>
      <c r="F106" s="107" t="s">
        <v>28</v>
      </c>
      <c r="G106" s="99"/>
      <c r="H106" s="388"/>
      <c r="I106" s="99"/>
      <c r="J106" s="77"/>
      <c r="K106" s="77"/>
      <c r="L106" s="77"/>
      <c r="M106" s="77"/>
      <c r="N106" s="77"/>
      <c r="O106" s="77"/>
    </row>
    <row r="107" spans="1:15" ht="30" x14ac:dyDescent="0.25">
      <c r="A107" s="397" t="s">
        <v>125</v>
      </c>
      <c r="B107" s="106" t="s">
        <v>191</v>
      </c>
      <c r="C107" s="106" t="s">
        <v>16</v>
      </c>
      <c r="D107" s="106"/>
      <c r="E107" s="106" t="s">
        <v>46</v>
      </c>
      <c r="F107" s="107" t="s">
        <v>34</v>
      </c>
      <c r="G107" s="99"/>
      <c r="H107" s="388"/>
      <c r="I107" s="99"/>
      <c r="J107" s="77"/>
      <c r="K107" s="77"/>
      <c r="L107" s="77"/>
      <c r="M107" s="77"/>
      <c r="N107" s="77"/>
      <c r="O107" s="77"/>
    </row>
    <row r="108" spans="1:15" ht="15" x14ac:dyDescent="0.25">
      <c r="A108" s="396" t="s">
        <v>128</v>
      </c>
      <c r="B108" s="106" t="s">
        <v>193</v>
      </c>
      <c r="C108" s="106" t="s">
        <v>20</v>
      </c>
      <c r="D108" s="106"/>
      <c r="E108" s="106" t="s">
        <v>44</v>
      </c>
      <c r="F108" s="107" t="s">
        <v>142</v>
      </c>
      <c r="G108" s="99"/>
      <c r="H108" s="388"/>
      <c r="I108" s="99"/>
      <c r="J108" s="77"/>
      <c r="K108" s="77"/>
      <c r="L108" s="77"/>
      <c r="M108" s="77"/>
      <c r="N108" s="77"/>
      <c r="O108" s="77"/>
    </row>
    <row r="109" spans="1:15" ht="15" x14ac:dyDescent="0.25">
      <c r="A109" s="397" t="s">
        <v>326</v>
      </c>
      <c r="B109" s="106"/>
      <c r="C109" s="106" t="s">
        <v>19</v>
      </c>
      <c r="D109" s="106"/>
      <c r="E109" s="106" t="s">
        <v>37</v>
      </c>
      <c r="F109" s="107" t="s">
        <v>30</v>
      </c>
      <c r="G109" s="99"/>
      <c r="H109" s="388"/>
      <c r="I109" s="99"/>
      <c r="J109" s="77"/>
      <c r="K109" s="77"/>
      <c r="L109" s="77"/>
      <c r="M109" s="77"/>
      <c r="N109" s="77"/>
      <c r="O109" s="77"/>
    </row>
    <row r="110" spans="1:15" ht="30" x14ac:dyDescent="0.25">
      <c r="A110" s="396" t="s">
        <v>308</v>
      </c>
      <c r="B110" s="106"/>
      <c r="C110" s="106" t="s">
        <v>21</v>
      </c>
      <c r="D110" s="106"/>
      <c r="E110" s="106" t="s">
        <v>117</v>
      </c>
      <c r="F110" s="107" t="s">
        <v>121</v>
      </c>
      <c r="G110" s="99"/>
      <c r="H110" s="388"/>
      <c r="I110" s="99"/>
      <c r="J110" s="77"/>
      <c r="K110" s="77"/>
      <c r="L110" s="77"/>
      <c r="M110" s="77"/>
      <c r="N110" s="77"/>
      <c r="O110" s="77"/>
    </row>
    <row r="111" spans="1:15" ht="30" x14ac:dyDescent="0.25">
      <c r="A111" s="396" t="s">
        <v>309</v>
      </c>
      <c r="B111" s="106"/>
      <c r="C111" s="106" t="s">
        <v>14</v>
      </c>
      <c r="D111" s="106"/>
      <c r="E111" s="106" t="s">
        <v>42</v>
      </c>
      <c r="F111" s="107" t="s">
        <v>40</v>
      </c>
      <c r="G111" s="99"/>
      <c r="H111" s="388"/>
      <c r="I111" s="99"/>
      <c r="J111" s="77"/>
      <c r="K111" s="77"/>
      <c r="L111" s="77"/>
      <c r="M111" s="77"/>
      <c r="N111" s="77"/>
      <c r="O111" s="77"/>
    </row>
    <row r="112" spans="1:15" ht="30" x14ac:dyDescent="0.25">
      <c r="A112" s="396" t="s">
        <v>307</v>
      </c>
      <c r="B112" s="106"/>
      <c r="C112" s="106" t="s">
        <v>17</v>
      </c>
      <c r="D112" s="106"/>
      <c r="E112" s="106" t="s">
        <v>38</v>
      </c>
      <c r="F112" s="107" t="s">
        <v>31</v>
      </c>
      <c r="G112" s="99"/>
      <c r="H112" s="388"/>
      <c r="I112" s="99"/>
      <c r="J112" s="77"/>
      <c r="K112" s="77"/>
      <c r="L112" s="77"/>
      <c r="M112" s="77"/>
      <c r="N112" s="77"/>
      <c r="O112" s="77"/>
    </row>
    <row r="113" spans="1:15" ht="15" x14ac:dyDescent="0.25">
      <c r="A113" s="397" t="s">
        <v>4</v>
      </c>
      <c r="B113" s="106"/>
      <c r="C113" s="106"/>
      <c r="D113" s="106"/>
      <c r="E113" s="106" t="s">
        <v>41</v>
      </c>
      <c r="F113" s="107" t="s">
        <v>39</v>
      </c>
      <c r="G113" s="99"/>
      <c r="H113" s="388"/>
      <c r="I113" s="99"/>
      <c r="J113" s="77"/>
      <c r="K113" s="77"/>
      <c r="L113" s="77"/>
      <c r="M113" s="77"/>
      <c r="N113" s="77"/>
      <c r="O113" s="77"/>
    </row>
    <row r="114" spans="1:15" ht="15" x14ac:dyDescent="0.25">
      <c r="A114" s="397" t="s">
        <v>126</v>
      </c>
      <c r="B114" s="106"/>
      <c r="C114" s="106"/>
      <c r="D114" s="106"/>
      <c r="E114" s="106" t="s">
        <v>43</v>
      </c>
      <c r="F114" s="107" t="s">
        <v>120</v>
      </c>
      <c r="G114" s="99"/>
      <c r="H114" s="388"/>
      <c r="I114" s="99"/>
      <c r="J114" s="77"/>
      <c r="K114" s="77"/>
      <c r="L114" s="77"/>
      <c r="M114" s="77"/>
      <c r="N114" s="77"/>
      <c r="O114" s="77"/>
    </row>
    <row r="115" spans="1:15" x14ac:dyDescent="0.25">
      <c r="A115" s="2" t="s">
        <v>238</v>
      </c>
      <c r="B115" s="2"/>
      <c r="C115" s="2"/>
      <c r="D115" s="2"/>
      <c r="E115" s="2" t="s">
        <v>118</v>
      </c>
      <c r="F115" s="2" t="s">
        <v>122</v>
      </c>
      <c r="G115" s="2"/>
      <c r="H115" s="3"/>
      <c r="I115" s="2"/>
    </row>
    <row r="116" spans="1:15" x14ac:dyDescent="0.25">
      <c r="A116" s="2" t="s">
        <v>183</v>
      </c>
      <c r="B116" s="2"/>
      <c r="C116" s="2"/>
      <c r="D116" s="2"/>
      <c r="E116" s="2" t="s">
        <v>45</v>
      </c>
      <c r="F116" s="2" t="s">
        <v>32</v>
      </c>
      <c r="G116" s="2"/>
      <c r="H116" s="3"/>
      <c r="I116" s="2"/>
    </row>
    <row r="117" spans="1:15" ht="15" x14ac:dyDescent="0.25">
      <c r="A117" s="2"/>
      <c r="B117" s="2"/>
      <c r="C117" s="2"/>
      <c r="D117" s="2"/>
      <c r="E117" s="106" t="s">
        <v>142</v>
      </c>
      <c r="F117" s="2"/>
      <c r="G117" s="2"/>
      <c r="H117" s="3"/>
      <c r="I117" s="2"/>
    </row>
    <row r="118" spans="1:15" x14ac:dyDescent="0.25">
      <c r="A118" s="2"/>
      <c r="B118" s="2"/>
      <c r="C118" s="2"/>
      <c r="D118" s="2"/>
      <c r="E118" s="2"/>
      <c r="F118" s="2"/>
      <c r="G118" s="2"/>
      <c r="H118" s="3"/>
      <c r="I118" s="2"/>
    </row>
    <row r="119" spans="1:15" x14ac:dyDescent="0.25">
      <c r="A119" s="2"/>
      <c r="B119" s="2"/>
      <c r="C119" s="2"/>
      <c r="D119" s="2"/>
      <c r="E119" s="2"/>
      <c r="F119" s="2"/>
      <c r="G119" s="2"/>
      <c r="H119" s="3"/>
      <c r="I119" s="2"/>
    </row>
    <row r="120" spans="1:15" x14ac:dyDescent="0.25">
      <c r="A120" s="2"/>
      <c r="B120" s="2"/>
      <c r="C120" s="2"/>
      <c r="D120" s="2"/>
      <c r="E120" s="2"/>
      <c r="F120" s="2"/>
      <c r="G120" s="2"/>
      <c r="H120" s="3"/>
      <c r="I120" s="2"/>
    </row>
    <row r="121" spans="1:15" x14ac:dyDescent="0.25">
      <c r="A121" s="2"/>
      <c r="B121" s="2"/>
      <c r="C121" s="2"/>
      <c r="D121" s="2"/>
      <c r="E121" s="2"/>
      <c r="F121" s="2"/>
      <c r="G121" s="2"/>
      <c r="H121" s="3"/>
      <c r="I121" s="2"/>
    </row>
    <row r="122" spans="1:15" x14ac:dyDescent="0.25">
      <c r="A122" s="2"/>
      <c r="B122" s="2"/>
      <c r="C122" s="2"/>
      <c r="D122" s="2"/>
      <c r="E122" s="2"/>
      <c r="F122" s="2"/>
      <c r="G122" s="2"/>
      <c r="H122" s="3"/>
      <c r="I122" s="2"/>
    </row>
    <row r="123" spans="1:15" x14ac:dyDescent="0.25">
      <c r="A123" s="2"/>
      <c r="B123" s="2"/>
      <c r="C123" s="2"/>
      <c r="D123" s="2"/>
      <c r="E123" s="2"/>
      <c r="F123" s="2"/>
      <c r="G123" s="2"/>
      <c r="H123" s="3"/>
      <c r="I123" s="2"/>
    </row>
    <row r="124" spans="1:15" x14ac:dyDescent="0.25">
      <c r="A124" s="2"/>
      <c r="B124" s="2"/>
      <c r="C124" s="2"/>
      <c r="D124" s="2"/>
      <c r="E124" s="2"/>
      <c r="F124" s="2"/>
      <c r="G124" s="2"/>
      <c r="H124" s="3"/>
      <c r="I124" s="2"/>
    </row>
    <row r="125" spans="1:15" x14ac:dyDescent="0.25">
      <c r="A125" s="2"/>
      <c r="B125" s="2"/>
      <c r="C125" s="2"/>
      <c r="D125" s="2"/>
      <c r="E125" s="2"/>
      <c r="F125" s="2"/>
      <c r="G125" s="2"/>
      <c r="H125" s="3"/>
      <c r="I125" s="2"/>
    </row>
    <row r="126" spans="1:15" x14ac:dyDescent="0.25">
      <c r="A126" s="2"/>
      <c r="B126" s="2"/>
      <c r="C126" s="2"/>
      <c r="D126" s="2"/>
      <c r="E126" s="2"/>
      <c r="F126" s="2"/>
      <c r="G126" s="2"/>
      <c r="H126" s="3"/>
      <c r="I126" s="2"/>
    </row>
    <row r="127" spans="1:15" x14ac:dyDescent="0.25">
      <c r="A127" s="2"/>
      <c r="B127" s="2"/>
      <c r="C127" s="2"/>
      <c r="D127" s="2"/>
      <c r="E127" s="2"/>
      <c r="F127" s="2"/>
      <c r="G127" s="2"/>
      <c r="H127" s="3"/>
      <c r="I127" s="2"/>
    </row>
    <row r="128" spans="1:15" x14ac:dyDescent="0.25">
      <c r="A128" s="2"/>
      <c r="B128" s="2"/>
      <c r="C128" s="2"/>
      <c r="D128" s="2"/>
      <c r="E128" s="2"/>
      <c r="F128" s="2"/>
      <c r="G128" s="2"/>
      <c r="H128" s="3"/>
      <c r="I128" s="2"/>
    </row>
    <row r="129" spans="1:9" x14ac:dyDescent="0.25">
      <c r="A129" s="2"/>
      <c r="B129" s="2"/>
      <c r="C129" s="2"/>
      <c r="D129" s="2"/>
      <c r="E129" s="2"/>
      <c r="F129" s="2"/>
      <c r="G129" s="2"/>
      <c r="H129" s="3"/>
      <c r="I129" s="2"/>
    </row>
  </sheetData>
  <mergeCells count="7">
    <mergeCell ref="A101:F102"/>
    <mergeCell ref="A1:O1"/>
    <mergeCell ref="A3:O3"/>
    <mergeCell ref="A11:O11"/>
    <mergeCell ref="A35:O35"/>
    <mergeCell ref="A47:O47"/>
    <mergeCell ref="A48:F48"/>
  </mergeCells>
  <dataValidations count="7">
    <dataValidation type="list" allowBlank="1" showInputMessage="1" showErrorMessage="1" sqref="F22:F31 F14:F18 F37 F5:F10" xr:uid="{00000000-0002-0000-0F00-000000000000}">
      <formula1>$E$110:$E$124</formula1>
    </dataValidation>
    <dataValidation type="list" allowBlank="1" showInputMessage="1" showErrorMessage="1" sqref="G5:G10 G14:G18 G37 G22:G31" xr:uid="{00000000-0002-0000-0F00-000001000000}">
      <formula1>$C$110:$C$118</formula1>
    </dataValidation>
    <dataValidation type="list" allowBlank="1" showInputMessage="1" showErrorMessage="1" sqref="A5:A10 A37 A14:A18 A22:A31" xr:uid="{00000000-0002-0000-0F00-000002000000}">
      <formula1>$D$110:$D$112</formula1>
    </dataValidation>
    <dataValidation type="list" allowBlank="1" showInputMessage="1" showErrorMessage="1" sqref="B5:B10 B22:B31 B14:B18 B37" xr:uid="{00000000-0002-0000-0F00-000003000000}">
      <formula1>$B$110:$B$114</formula1>
    </dataValidation>
    <dataValidation type="list" allowBlank="1" showInputMessage="1" showErrorMessage="1" sqref="E5:E10 E22:E31 E37 E14:E18" xr:uid="{00000000-0002-0000-0F00-000004000000}">
      <formula1>$F$110:$F$124</formula1>
    </dataValidation>
    <dataValidation type="list" allowBlank="1" showInputMessage="1" showErrorMessage="1" sqref="C22:D31 C14:D18 C37:D37 C5:D10" xr:uid="{00000000-0002-0000-0F00-000005000000}">
      <formula1>$A$110:$A$122</formula1>
    </dataValidation>
    <dataValidation type="list" allowBlank="1" showInputMessage="1" showErrorMessage="1" sqref="E40 C39:D46" xr:uid="{00000000-0002-0000-0F00-000006000000}">
      <formula1>#REF!</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9"/>
  <dimension ref="A1:EA129"/>
  <sheetViews>
    <sheetView zoomScale="70" zoomScaleNormal="70" workbookViewId="0">
      <selection activeCell="K6" sqref="K6"/>
    </sheetView>
  </sheetViews>
  <sheetFormatPr defaultColWidth="8.77734375" defaultRowHeight="13.2" x14ac:dyDescent="0.25"/>
  <cols>
    <col min="1" max="15" width="26.44140625" customWidth="1"/>
  </cols>
  <sheetData>
    <row r="1" spans="1:131" ht="18" thickBot="1" x14ac:dyDescent="0.3">
      <c r="A1" s="900" t="s">
        <v>310</v>
      </c>
      <c r="B1" s="900"/>
      <c r="C1" s="900"/>
      <c r="D1" s="900"/>
      <c r="E1" s="900"/>
      <c r="F1" s="900"/>
      <c r="G1" s="900"/>
      <c r="H1" s="900"/>
      <c r="I1" s="900"/>
      <c r="J1" s="900"/>
      <c r="K1" s="900"/>
      <c r="L1" s="900"/>
      <c r="M1" s="900"/>
      <c r="N1" s="900"/>
      <c r="O1" s="900"/>
    </row>
    <row r="2" spans="1:131" ht="17.399999999999999" x14ac:dyDescent="0.25">
      <c r="A2" s="547" t="s">
        <v>188</v>
      </c>
      <c r="B2" s="175"/>
      <c r="C2" s="547"/>
      <c r="D2" s="547"/>
      <c r="E2" s="547"/>
      <c r="F2" s="547"/>
      <c r="G2" s="547"/>
      <c r="H2" s="381"/>
      <c r="I2" s="547"/>
      <c r="J2" s="399"/>
      <c r="K2" s="399"/>
      <c r="L2" s="399"/>
      <c r="M2" s="399"/>
      <c r="N2" s="399"/>
      <c r="O2" s="399"/>
    </row>
    <row r="3" spans="1:131" ht="15" x14ac:dyDescent="0.25">
      <c r="A3" s="901" t="s">
        <v>204</v>
      </c>
      <c r="B3" s="902"/>
      <c r="C3" s="902"/>
      <c r="D3" s="902"/>
      <c r="E3" s="902"/>
      <c r="F3" s="902"/>
      <c r="G3" s="902"/>
      <c r="H3" s="902"/>
      <c r="I3" s="902"/>
      <c r="J3" s="902"/>
      <c r="K3" s="902"/>
      <c r="L3" s="902"/>
      <c r="M3" s="902"/>
      <c r="N3" s="902"/>
      <c r="O3" s="903"/>
    </row>
    <row r="4" spans="1:131" ht="60" x14ac:dyDescent="0.25">
      <c r="A4" s="176" t="s">
        <v>89</v>
      </c>
      <c r="B4" s="176" t="s">
        <v>90</v>
      </c>
      <c r="C4" s="177" t="s">
        <v>0</v>
      </c>
      <c r="D4" s="177" t="s">
        <v>124</v>
      </c>
      <c r="E4" s="176" t="s">
        <v>143</v>
      </c>
      <c r="F4" s="176" t="s">
        <v>144</v>
      </c>
      <c r="G4" s="176" t="s">
        <v>13</v>
      </c>
      <c r="H4" s="382" t="s">
        <v>88</v>
      </c>
      <c r="I4" s="176" t="s">
        <v>12</v>
      </c>
      <c r="J4" s="400" t="s">
        <v>158</v>
      </c>
      <c r="K4" s="400" t="s">
        <v>148</v>
      </c>
      <c r="L4" s="400" t="s">
        <v>180</v>
      </c>
      <c r="M4" s="400" t="s">
        <v>104</v>
      </c>
      <c r="N4" s="400" t="s">
        <v>179</v>
      </c>
      <c r="O4" s="400" t="s">
        <v>205</v>
      </c>
    </row>
    <row r="5" spans="1:131" ht="30" x14ac:dyDescent="0.25">
      <c r="A5" s="482" t="s">
        <v>84</v>
      </c>
      <c r="B5" s="482" t="s">
        <v>3</v>
      </c>
      <c r="C5" s="482" t="s">
        <v>307</v>
      </c>
      <c r="D5" s="482" t="s">
        <v>307</v>
      </c>
      <c r="E5" s="327" t="s">
        <v>120</v>
      </c>
      <c r="F5" s="457" t="s">
        <v>44</v>
      </c>
      <c r="G5" s="482" t="s">
        <v>14</v>
      </c>
      <c r="H5" s="483">
        <v>44423</v>
      </c>
      <c r="I5" s="482" t="s">
        <v>23</v>
      </c>
      <c r="J5" s="350">
        <v>143.66999999999999</v>
      </c>
      <c r="K5" s="350">
        <f>'Sep13'!K5</f>
        <v>110.75</v>
      </c>
      <c r="L5" s="496">
        <f t="shared" ref="L5:L8" si="0">N5-M5</f>
        <v>13.177328489999999</v>
      </c>
      <c r="M5" s="350">
        <f t="shared" ref="M5:N8" si="1">-DZ5/1000000</f>
        <v>0.86434854999999999</v>
      </c>
      <c r="N5" s="350">
        <f t="shared" si="1"/>
        <v>14.04167704</v>
      </c>
      <c r="O5" s="88"/>
      <c r="DZ5">
        <v>-864348.55</v>
      </c>
      <c r="EA5">
        <v>-14041677.039999999</v>
      </c>
    </row>
    <row r="6" spans="1:131" ht="30" x14ac:dyDescent="0.25">
      <c r="A6" s="485" t="s">
        <v>84</v>
      </c>
      <c r="B6" s="485" t="s">
        <v>3</v>
      </c>
      <c r="C6" s="485" t="s">
        <v>307</v>
      </c>
      <c r="D6" s="485" t="s">
        <v>307</v>
      </c>
      <c r="E6" s="329" t="s">
        <v>120</v>
      </c>
      <c r="F6" s="458" t="s">
        <v>44</v>
      </c>
      <c r="G6" s="485" t="s">
        <v>14</v>
      </c>
      <c r="H6" s="93">
        <v>44576</v>
      </c>
      <c r="I6" s="485" t="s">
        <v>24</v>
      </c>
      <c r="J6" s="351">
        <v>27.4</v>
      </c>
      <c r="K6" s="351">
        <f>'Sep13'!K6</f>
        <v>25.83</v>
      </c>
      <c r="L6" s="497">
        <f t="shared" si="0"/>
        <v>3.44522635</v>
      </c>
      <c r="M6" s="351">
        <f t="shared" si="1"/>
        <v>8.2579739999999999E-2</v>
      </c>
      <c r="N6" s="351">
        <f t="shared" si="1"/>
        <v>3.5278060899999999</v>
      </c>
      <c r="O6" s="96"/>
      <c r="DZ6">
        <v>-82579.740000000005</v>
      </c>
      <c r="EA6">
        <v>-3527806.09</v>
      </c>
    </row>
    <row r="7" spans="1:131" ht="30" x14ac:dyDescent="0.25">
      <c r="A7" s="482" t="s">
        <v>84</v>
      </c>
      <c r="B7" s="482" t="s">
        <v>3</v>
      </c>
      <c r="C7" s="482" t="s">
        <v>308</v>
      </c>
      <c r="D7" s="482" t="s">
        <v>308</v>
      </c>
      <c r="E7" s="327" t="s">
        <v>39</v>
      </c>
      <c r="F7" s="457" t="s">
        <v>38</v>
      </c>
      <c r="G7" s="482" t="s">
        <v>14</v>
      </c>
      <c r="H7" s="483">
        <v>44576</v>
      </c>
      <c r="I7" s="482" t="s">
        <v>24</v>
      </c>
      <c r="J7" s="350">
        <v>26.85</v>
      </c>
      <c r="K7" s="350">
        <f>'Sep13'!K7</f>
        <v>25.38</v>
      </c>
      <c r="L7" s="496">
        <f t="shared" si="0"/>
        <v>3.37734698</v>
      </c>
      <c r="M7" s="350">
        <f t="shared" si="1"/>
        <v>8.1125080000000002E-2</v>
      </c>
      <c r="N7" s="350">
        <f t="shared" si="1"/>
        <v>3.4584720600000001</v>
      </c>
      <c r="O7" s="88"/>
      <c r="DZ7">
        <v>-81125.08</v>
      </c>
      <c r="EA7">
        <v>-3458472.06</v>
      </c>
    </row>
    <row r="8" spans="1:131" ht="30" x14ac:dyDescent="0.25">
      <c r="A8" s="485" t="s">
        <v>84</v>
      </c>
      <c r="B8" s="485" t="s">
        <v>3</v>
      </c>
      <c r="C8" s="485" t="s">
        <v>309</v>
      </c>
      <c r="D8" s="485" t="s">
        <v>125</v>
      </c>
      <c r="E8" s="329" t="s">
        <v>39</v>
      </c>
      <c r="F8" s="458" t="s">
        <v>42</v>
      </c>
      <c r="G8" s="485" t="s">
        <v>14</v>
      </c>
      <c r="H8" s="93">
        <v>46296</v>
      </c>
      <c r="I8" s="485" t="s">
        <v>25</v>
      </c>
      <c r="J8" s="351">
        <v>40.880000000000003</v>
      </c>
      <c r="K8" s="351">
        <v>35.590000000000003</v>
      </c>
      <c r="L8" s="497">
        <f t="shared" si="0"/>
        <v>4.7804159200000003</v>
      </c>
      <c r="M8" s="351">
        <f t="shared" si="1"/>
        <v>0.10135261999999999</v>
      </c>
      <c r="N8" s="351">
        <f t="shared" si="1"/>
        <v>4.8817685400000004</v>
      </c>
      <c r="O8" s="96"/>
      <c r="DZ8">
        <v>-101352.62</v>
      </c>
      <c r="EA8">
        <v>-4881768.54</v>
      </c>
    </row>
    <row r="9" spans="1:131" ht="15" x14ac:dyDescent="0.25">
      <c r="A9" s="111"/>
      <c r="B9" s="111"/>
      <c r="C9" s="111"/>
      <c r="D9" s="111"/>
      <c r="E9" s="123"/>
      <c r="F9" s="111"/>
      <c r="G9" s="111"/>
      <c r="H9" s="114"/>
      <c r="I9" s="111"/>
      <c r="J9" s="352"/>
      <c r="K9" s="352"/>
      <c r="L9" s="352"/>
      <c r="M9" s="352"/>
      <c r="N9" s="353"/>
      <c r="O9" s="353"/>
    </row>
    <row r="10" spans="1:131" ht="15" x14ac:dyDescent="0.25">
      <c r="A10" s="485"/>
      <c r="B10" s="485"/>
      <c r="C10" s="485"/>
      <c r="D10" s="485"/>
      <c r="E10" s="329"/>
      <c r="F10" s="485"/>
      <c r="G10" s="485"/>
      <c r="H10" s="93"/>
      <c r="I10" s="485"/>
      <c r="J10" s="351"/>
      <c r="K10" s="351"/>
      <c r="L10" s="351"/>
      <c r="M10" s="351"/>
      <c r="N10" s="96"/>
      <c r="O10" s="96"/>
    </row>
    <row r="11" spans="1:131" ht="15" x14ac:dyDescent="0.25">
      <c r="A11" s="901" t="s">
        <v>203</v>
      </c>
      <c r="B11" s="902"/>
      <c r="C11" s="902"/>
      <c r="D11" s="902"/>
      <c r="E11" s="902"/>
      <c r="F11" s="902"/>
      <c r="G11" s="902"/>
      <c r="H11" s="902"/>
      <c r="I11" s="902"/>
      <c r="J11" s="902"/>
      <c r="K11" s="902"/>
      <c r="L11" s="902"/>
      <c r="M11" s="902"/>
      <c r="N11" s="902"/>
      <c r="O11" s="903"/>
    </row>
    <row r="12" spans="1:131" ht="60" x14ac:dyDescent="0.25">
      <c r="A12" s="176" t="s">
        <v>89</v>
      </c>
      <c r="B12" s="176" t="s">
        <v>90</v>
      </c>
      <c r="C12" s="177" t="s">
        <v>0</v>
      </c>
      <c r="D12" s="180" t="s">
        <v>124</v>
      </c>
      <c r="E12" s="176" t="s">
        <v>143</v>
      </c>
      <c r="F12" s="176" t="s">
        <v>144</v>
      </c>
      <c r="G12" s="176" t="s">
        <v>13</v>
      </c>
      <c r="H12" s="382" t="s">
        <v>88</v>
      </c>
      <c r="I12" s="176" t="s">
        <v>12</v>
      </c>
      <c r="J12" s="400" t="s">
        <v>150</v>
      </c>
      <c r="K12" s="400" t="s">
        <v>151</v>
      </c>
      <c r="L12" s="400" t="s">
        <v>157</v>
      </c>
      <c r="M12" s="400" t="s">
        <v>149</v>
      </c>
      <c r="N12" s="400" t="s">
        <v>179</v>
      </c>
      <c r="O12" s="400" t="s">
        <v>205</v>
      </c>
    </row>
    <row r="13" spans="1:131" ht="15" x14ac:dyDescent="0.25">
      <c r="A13" s="184" t="s">
        <v>197</v>
      </c>
      <c r="B13" s="184"/>
      <c r="C13" s="185"/>
      <c r="D13" s="185"/>
      <c r="E13" s="184"/>
      <c r="F13" s="184"/>
      <c r="G13" s="184"/>
      <c r="H13" s="383"/>
      <c r="I13" s="184"/>
      <c r="J13" s="403"/>
      <c r="K13" s="403"/>
      <c r="L13" s="403"/>
      <c r="M13" s="403"/>
      <c r="N13" s="403"/>
      <c r="O13" s="404"/>
    </row>
    <row r="14" spans="1:131" ht="30" x14ac:dyDescent="0.25">
      <c r="A14" s="482" t="s">
        <v>8</v>
      </c>
      <c r="B14" s="541" t="s">
        <v>7</v>
      </c>
      <c r="C14" s="482" t="s">
        <v>239</v>
      </c>
      <c r="D14" s="482" t="s">
        <v>238</v>
      </c>
      <c r="E14" s="327" t="s">
        <v>32</v>
      </c>
      <c r="F14" s="327" t="s">
        <v>45</v>
      </c>
      <c r="G14" s="482" t="s">
        <v>22</v>
      </c>
      <c r="H14" s="483">
        <v>41820</v>
      </c>
      <c r="I14" s="482" t="s">
        <v>132</v>
      </c>
      <c r="J14" s="88">
        <v>19.28</v>
      </c>
      <c r="K14" s="88">
        <v>-4.96</v>
      </c>
      <c r="L14" s="488">
        <v>14.32</v>
      </c>
      <c r="M14" s="88"/>
      <c r="N14" s="88"/>
      <c r="O14" s="88"/>
    </row>
    <row r="15" spans="1:131" ht="30" x14ac:dyDescent="0.25">
      <c r="A15" s="485" t="s">
        <v>8</v>
      </c>
      <c r="B15" s="485" t="s">
        <v>193</v>
      </c>
      <c r="C15" s="485" t="s">
        <v>239</v>
      </c>
      <c r="D15" s="485" t="s">
        <v>238</v>
      </c>
      <c r="E15" s="485" t="s">
        <v>32</v>
      </c>
      <c r="F15" s="485" t="s">
        <v>45</v>
      </c>
      <c r="G15" s="485" t="s">
        <v>22</v>
      </c>
      <c r="H15" s="385">
        <v>42185</v>
      </c>
      <c r="I15" s="485" t="s">
        <v>133</v>
      </c>
      <c r="J15" s="379">
        <v>13.19</v>
      </c>
      <c r="K15" s="379">
        <v>0</v>
      </c>
      <c r="L15" s="489">
        <v>13.19</v>
      </c>
      <c r="M15" s="379"/>
      <c r="N15" s="379"/>
      <c r="O15" s="379"/>
    </row>
    <row r="16" spans="1:131" ht="30" x14ac:dyDescent="0.25">
      <c r="A16" s="482" t="s">
        <v>8</v>
      </c>
      <c r="B16" s="482" t="s">
        <v>193</v>
      </c>
      <c r="C16" s="482" t="s">
        <v>239</v>
      </c>
      <c r="D16" s="482" t="s">
        <v>238</v>
      </c>
      <c r="E16" s="482" t="s">
        <v>32</v>
      </c>
      <c r="F16" s="482" t="s">
        <v>45</v>
      </c>
      <c r="G16" s="482" t="s">
        <v>22</v>
      </c>
      <c r="H16" s="386">
        <v>42551</v>
      </c>
      <c r="I16" s="482" t="s">
        <v>300</v>
      </c>
      <c r="J16" s="380">
        <v>1.0900000000000001</v>
      </c>
      <c r="K16" s="380">
        <v>0</v>
      </c>
      <c r="L16" s="488">
        <v>1.0900000000000001</v>
      </c>
      <c r="M16" s="380"/>
      <c r="N16" s="380"/>
      <c r="O16" s="380"/>
    </row>
    <row r="17" spans="1:15" ht="30" x14ac:dyDescent="0.25">
      <c r="A17" s="485" t="s">
        <v>8</v>
      </c>
      <c r="B17" s="485" t="s">
        <v>193</v>
      </c>
      <c r="C17" s="485" t="s">
        <v>239</v>
      </c>
      <c r="D17" s="485" t="s">
        <v>238</v>
      </c>
      <c r="E17" s="485" t="s">
        <v>32</v>
      </c>
      <c r="F17" s="485" t="s">
        <v>45</v>
      </c>
      <c r="G17" s="485" t="s">
        <v>22</v>
      </c>
      <c r="H17" s="385">
        <v>42916</v>
      </c>
      <c r="I17" s="485" t="s">
        <v>345</v>
      </c>
      <c r="J17" s="379">
        <v>0</v>
      </c>
      <c r="K17" s="379">
        <v>0</v>
      </c>
      <c r="L17" s="490">
        <v>0</v>
      </c>
      <c r="M17" s="379"/>
      <c r="N17" s="379"/>
      <c r="O17" s="379"/>
    </row>
    <row r="18" spans="1:15" ht="15" x14ac:dyDescent="0.25">
      <c r="A18" s="181"/>
      <c r="B18" s="181"/>
      <c r="C18" s="181"/>
      <c r="D18" s="181"/>
      <c r="E18" s="182"/>
      <c r="F18" s="181"/>
      <c r="G18" s="181"/>
      <c r="H18" s="183" t="s">
        <v>206</v>
      </c>
      <c r="I18" s="181"/>
      <c r="J18" s="354">
        <v>33.56</v>
      </c>
      <c r="K18" s="354">
        <v>-4.96</v>
      </c>
      <c r="L18" s="354">
        <v>28.599999999999998</v>
      </c>
      <c r="M18" s="354">
        <v>24.669127999999997</v>
      </c>
      <c r="N18" s="354">
        <v>3.9308719999999999</v>
      </c>
      <c r="O18" s="354">
        <v>35</v>
      </c>
    </row>
    <row r="19" spans="1:15" ht="15" x14ac:dyDescent="0.25">
      <c r="A19" s="181" t="s">
        <v>295</v>
      </c>
      <c r="B19" s="181"/>
      <c r="C19" s="181"/>
      <c r="D19" s="181"/>
      <c r="E19" s="182"/>
      <c r="F19" s="181"/>
      <c r="G19" s="181"/>
      <c r="H19" s="183"/>
      <c r="I19" s="181"/>
      <c r="J19" s="354"/>
      <c r="K19" s="354"/>
      <c r="L19" s="354"/>
      <c r="M19" s="354"/>
      <c r="N19" s="354"/>
      <c r="O19" s="354"/>
    </row>
    <row r="20" spans="1:15" ht="15" x14ac:dyDescent="0.25">
      <c r="A20" s="184" t="s">
        <v>327</v>
      </c>
      <c r="B20" s="184"/>
      <c r="C20" s="185"/>
      <c r="D20" s="185"/>
      <c r="E20" s="184"/>
      <c r="F20" s="184"/>
      <c r="G20" s="184"/>
      <c r="H20" s="383"/>
      <c r="I20" s="184"/>
      <c r="J20" s="459"/>
      <c r="K20" s="459"/>
      <c r="L20" s="459"/>
      <c r="M20" s="459"/>
      <c r="N20" s="459"/>
      <c r="O20" s="186"/>
    </row>
    <row r="21" spans="1:15" ht="30" x14ac:dyDescent="0.25">
      <c r="A21" s="482" t="s">
        <v>8</v>
      </c>
      <c r="B21" s="482" t="s">
        <v>7</v>
      </c>
      <c r="C21" s="482" t="s">
        <v>27</v>
      </c>
      <c r="D21" s="482" t="s">
        <v>127</v>
      </c>
      <c r="E21" s="327" t="s">
        <v>33</v>
      </c>
      <c r="F21" s="327" t="s">
        <v>45</v>
      </c>
      <c r="G21" s="482" t="s">
        <v>22</v>
      </c>
      <c r="H21" s="483">
        <v>41820</v>
      </c>
      <c r="I21" s="482" t="s">
        <v>138</v>
      </c>
      <c r="J21" s="88">
        <v>0.92112859999999996</v>
      </c>
      <c r="K21" s="88">
        <v>-0.92112859999999996</v>
      </c>
      <c r="L21" s="488">
        <v>0</v>
      </c>
      <c r="M21" s="486"/>
      <c r="N21" s="486"/>
      <c r="O21" s="486"/>
    </row>
    <row r="22" spans="1:15" ht="30" x14ac:dyDescent="0.25">
      <c r="A22" s="482" t="s">
        <v>8</v>
      </c>
      <c r="B22" s="485" t="s">
        <v>7</v>
      </c>
      <c r="C22" s="485" t="s">
        <v>27</v>
      </c>
      <c r="D22" s="485" t="s">
        <v>127</v>
      </c>
      <c r="E22" s="485" t="s">
        <v>33</v>
      </c>
      <c r="F22" s="485" t="s">
        <v>45</v>
      </c>
      <c r="G22" s="485" t="s">
        <v>22</v>
      </c>
      <c r="H22" s="385">
        <v>42185</v>
      </c>
      <c r="I22" s="485" t="s">
        <v>139</v>
      </c>
      <c r="J22" s="379"/>
      <c r="K22" s="379"/>
      <c r="L22" s="489">
        <v>0</v>
      </c>
      <c r="M22" s="484"/>
      <c r="N22" s="484"/>
      <c r="O22" s="484"/>
    </row>
    <row r="23" spans="1:15" ht="30" x14ac:dyDescent="0.25">
      <c r="A23" s="482" t="s">
        <v>8</v>
      </c>
      <c r="B23" s="482" t="s">
        <v>7</v>
      </c>
      <c r="C23" s="482" t="s">
        <v>27</v>
      </c>
      <c r="D23" s="482" t="s">
        <v>127</v>
      </c>
      <c r="E23" s="482" t="s">
        <v>33</v>
      </c>
      <c r="F23" s="482" t="s">
        <v>45</v>
      </c>
      <c r="G23" s="482" t="s">
        <v>22</v>
      </c>
      <c r="H23" s="386">
        <v>42551</v>
      </c>
      <c r="I23" s="482" t="s">
        <v>301</v>
      </c>
      <c r="J23" s="380"/>
      <c r="K23" s="380"/>
      <c r="L23" s="488">
        <v>0</v>
      </c>
      <c r="M23" s="487"/>
      <c r="N23" s="487"/>
      <c r="O23" s="487"/>
    </row>
    <row r="24" spans="1:15" ht="30" x14ac:dyDescent="0.25">
      <c r="A24" s="482" t="s">
        <v>8</v>
      </c>
      <c r="B24" s="485" t="s">
        <v>7</v>
      </c>
      <c r="C24" s="485" t="s">
        <v>27</v>
      </c>
      <c r="D24" s="485" t="s">
        <v>127</v>
      </c>
      <c r="E24" s="485" t="s">
        <v>33</v>
      </c>
      <c r="F24" s="485" t="s">
        <v>45</v>
      </c>
      <c r="G24" s="485" t="s">
        <v>22</v>
      </c>
      <c r="H24" s="385">
        <v>42916</v>
      </c>
      <c r="I24" s="485" t="s">
        <v>346</v>
      </c>
      <c r="J24" s="379"/>
      <c r="K24" s="379"/>
      <c r="L24" s="490">
        <v>0</v>
      </c>
      <c r="M24" s="484"/>
      <c r="N24" s="484"/>
      <c r="O24" s="484"/>
    </row>
    <row r="25" spans="1:15" ht="15" x14ac:dyDescent="0.25">
      <c r="A25" s="181" t="s">
        <v>324</v>
      </c>
      <c r="B25" s="181"/>
      <c r="C25" s="181"/>
      <c r="D25" s="181"/>
      <c r="E25" s="182"/>
      <c r="F25" s="181"/>
      <c r="G25" s="181"/>
      <c r="H25" s="183" t="s">
        <v>206</v>
      </c>
      <c r="I25" s="181"/>
      <c r="J25" s="354">
        <v>0.92112859999999996</v>
      </c>
      <c r="K25" s="354">
        <v>-0.92112859999999996</v>
      </c>
      <c r="L25" s="354">
        <v>0</v>
      </c>
      <c r="M25" s="354">
        <v>1.7952399999999875E-4</v>
      </c>
      <c r="N25" s="354">
        <v>-1.7952399999999875E-4</v>
      </c>
      <c r="O25" s="354"/>
    </row>
    <row r="26" spans="1:15" ht="15" x14ac:dyDescent="0.25">
      <c r="A26" s="181"/>
      <c r="B26" s="181"/>
      <c r="C26" s="181"/>
      <c r="D26" s="181"/>
      <c r="E26" s="182"/>
      <c r="F26" s="181"/>
      <c r="G26" s="181"/>
      <c r="H26" s="183"/>
      <c r="I26" s="181"/>
      <c r="J26" s="354"/>
      <c r="K26" s="354"/>
      <c r="L26" s="354"/>
      <c r="M26" s="354"/>
      <c r="N26" s="354"/>
      <c r="O26" s="354"/>
    </row>
    <row r="27" spans="1:15" ht="15" x14ac:dyDescent="0.25">
      <c r="A27" s="184" t="s">
        <v>328</v>
      </c>
      <c r="B27" s="184"/>
      <c r="C27" s="185"/>
      <c r="D27" s="185"/>
      <c r="E27" s="184"/>
      <c r="F27" s="184"/>
      <c r="G27" s="184"/>
      <c r="H27" s="383"/>
      <c r="I27" s="184"/>
      <c r="J27" s="459"/>
      <c r="K27" s="459"/>
      <c r="L27" s="459"/>
      <c r="M27" s="459"/>
      <c r="N27" s="459"/>
      <c r="O27" s="186"/>
    </row>
    <row r="28" spans="1:15" ht="30" x14ac:dyDescent="0.25">
      <c r="A28" s="482" t="s">
        <v>8</v>
      </c>
      <c r="B28" s="482" t="s">
        <v>7</v>
      </c>
      <c r="C28" s="482" t="s">
        <v>92</v>
      </c>
      <c r="D28" s="482" t="s">
        <v>128</v>
      </c>
      <c r="E28" s="327" t="s">
        <v>33</v>
      </c>
      <c r="F28" s="327" t="s">
        <v>45</v>
      </c>
      <c r="G28" s="482" t="s">
        <v>22</v>
      </c>
      <c r="H28" s="483">
        <v>41820</v>
      </c>
      <c r="I28" s="482" t="s">
        <v>138</v>
      </c>
      <c r="J28" s="88">
        <v>2.7230235199999999</v>
      </c>
      <c r="K28" s="88">
        <v>-1.4266017600000001</v>
      </c>
      <c r="L28" s="488">
        <v>1.2964217599999999</v>
      </c>
      <c r="M28" s="379"/>
      <c r="N28" s="379"/>
      <c r="O28" s="379"/>
    </row>
    <row r="29" spans="1:15" ht="30" x14ac:dyDescent="0.25">
      <c r="A29" s="485" t="s">
        <v>8</v>
      </c>
      <c r="B29" s="485" t="s">
        <v>7</v>
      </c>
      <c r="C29" s="485" t="s">
        <v>92</v>
      </c>
      <c r="D29" s="485" t="s">
        <v>128</v>
      </c>
      <c r="E29" s="485" t="s">
        <v>33</v>
      </c>
      <c r="F29" s="485" t="s">
        <v>45</v>
      </c>
      <c r="G29" s="485" t="s">
        <v>22</v>
      </c>
      <c r="H29" s="385">
        <v>42185</v>
      </c>
      <c r="I29" s="485" t="s">
        <v>139</v>
      </c>
      <c r="J29" s="379">
        <v>1.5495680000000001</v>
      </c>
      <c r="K29" s="379">
        <v>0</v>
      </c>
      <c r="L29" s="489">
        <v>1.5495680000000001</v>
      </c>
      <c r="M29" s="380"/>
      <c r="N29" s="380"/>
      <c r="O29" s="380"/>
    </row>
    <row r="30" spans="1:15" ht="30" x14ac:dyDescent="0.25">
      <c r="A30" s="482" t="s">
        <v>8</v>
      </c>
      <c r="B30" s="482" t="s">
        <v>7</v>
      </c>
      <c r="C30" s="482" t="s">
        <v>92</v>
      </c>
      <c r="D30" s="482" t="s">
        <v>128</v>
      </c>
      <c r="E30" s="482" t="s">
        <v>33</v>
      </c>
      <c r="F30" s="482" t="s">
        <v>45</v>
      </c>
      <c r="G30" s="482" t="s">
        <v>22</v>
      </c>
      <c r="H30" s="386">
        <v>42551</v>
      </c>
      <c r="I30" s="482" t="s">
        <v>301</v>
      </c>
      <c r="J30" s="380">
        <v>0.72236800000000001</v>
      </c>
      <c r="K30" s="380">
        <v>0</v>
      </c>
      <c r="L30" s="488">
        <v>0.72236800000000001</v>
      </c>
      <c r="M30" s="379"/>
      <c r="N30" s="379"/>
      <c r="O30" s="379"/>
    </row>
    <row r="31" spans="1:15" ht="30" x14ac:dyDescent="0.25">
      <c r="A31" s="485" t="s">
        <v>8</v>
      </c>
      <c r="B31" s="485" t="s">
        <v>7</v>
      </c>
      <c r="C31" s="485" t="s">
        <v>92</v>
      </c>
      <c r="D31" s="485" t="s">
        <v>128</v>
      </c>
      <c r="E31" s="485" t="s">
        <v>33</v>
      </c>
      <c r="F31" s="485" t="s">
        <v>45</v>
      </c>
      <c r="G31" s="485" t="s">
        <v>22</v>
      </c>
      <c r="H31" s="385">
        <v>42916</v>
      </c>
      <c r="I31" s="485" t="s">
        <v>346</v>
      </c>
      <c r="J31" s="379">
        <v>0</v>
      </c>
      <c r="K31" s="379">
        <v>0</v>
      </c>
      <c r="L31" s="490">
        <v>0</v>
      </c>
      <c r="M31" s="380"/>
      <c r="N31" s="380"/>
      <c r="O31" s="380"/>
    </row>
    <row r="32" spans="1:15" ht="15" x14ac:dyDescent="0.25">
      <c r="A32" s="181" t="s">
        <v>325</v>
      </c>
      <c r="B32" s="181"/>
      <c r="C32" s="181"/>
      <c r="D32" s="181"/>
      <c r="E32" s="182"/>
      <c r="F32" s="181"/>
      <c r="G32" s="181"/>
      <c r="H32" s="183" t="s">
        <v>206</v>
      </c>
      <c r="I32" s="181"/>
      <c r="J32" s="354">
        <v>4.9949595200000001</v>
      </c>
      <c r="K32" s="354">
        <v>-1.4266017600000001</v>
      </c>
      <c r="L32" s="354">
        <v>3.56835776</v>
      </c>
      <c r="M32" s="354">
        <v>3.4888733900000002</v>
      </c>
      <c r="N32" s="354">
        <v>7.9484369999999901E-2</v>
      </c>
      <c r="O32" s="354"/>
    </row>
    <row r="33" spans="1:15" ht="30" x14ac:dyDescent="0.25">
      <c r="A33" s="181" t="s">
        <v>331</v>
      </c>
      <c r="B33" s="181"/>
      <c r="C33" s="181"/>
      <c r="D33" s="181"/>
      <c r="E33" s="182"/>
      <c r="F33" s="181"/>
      <c r="G33" s="181"/>
      <c r="H33" s="183"/>
      <c r="I33" s="181"/>
      <c r="J33" s="354">
        <f>J32 + J25</f>
        <v>5.9160881200000004</v>
      </c>
      <c r="K33" s="354">
        <f>K32 + K25</f>
        <v>-2.3477303599999999</v>
      </c>
      <c r="L33" s="354">
        <f>L32 + L25</f>
        <v>3.56835776</v>
      </c>
      <c r="M33" s="354">
        <f>M32 + M25</f>
        <v>3.4890529140000002</v>
      </c>
      <c r="N33" s="354">
        <f>IF(AND(N32&gt;0, N25&gt;0),N32 + N25,IF(AND(N32&gt;0, N25&lt;=0),N32,IF(AND(N32&lt;0, N25&gt;=0), N25,0)))</f>
        <v>7.9484369999999901E-2</v>
      </c>
      <c r="O33" s="354"/>
    </row>
    <row r="34" spans="1:15" ht="15" x14ac:dyDescent="0.25">
      <c r="A34" s="184" t="s">
        <v>298</v>
      </c>
      <c r="B34" s="184"/>
      <c r="C34" s="185"/>
      <c r="D34" s="185"/>
      <c r="E34" s="184"/>
      <c r="F34" s="184"/>
      <c r="G34" s="184"/>
      <c r="H34" s="383"/>
      <c r="I34" s="184"/>
      <c r="J34" s="403"/>
      <c r="K34" s="403"/>
      <c r="L34" s="403"/>
      <c r="M34" s="403"/>
      <c r="N34" s="403"/>
      <c r="O34" s="404"/>
    </row>
    <row r="35" spans="1:15" ht="15" x14ac:dyDescent="0.25">
      <c r="A35" s="901" t="s">
        <v>325</v>
      </c>
      <c r="B35" s="902"/>
      <c r="C35" s="902"/>
      <c r="D35" s="902"/>
      <c r="E35" s="902"/>
      <c r="F35" s="902"/>
      <c r="G35" s="902"/>
      <c r="H35" s="902"/>
      <c r="I35" s="902"/>
      <c r="J35" s="902"/>
      <c r="K35" s="902"/>
      <c r="L35" s="902"/>
      <c r="M35" s="902"/>
      <c r="N35" s="902"/>
      <c r="O35" s="903"/>
    </row>
    <row r="36" spans="1:15" ht="60" x14ac:dyDescent="0.25">
      <c r="A36" s="176" t="s">
        <v>89</v>
      </c>
      <c r="B36" s="176" t="s">
        <v>90</v>
      </c>
      <c r="C36" s="177" t="s">
        <v>0</v>
      </c>
      <c r="D36" s="177" t="s">
        <v>124</v>
      </c>
      <c r="E36" s="176" t="s">
        <v>143</v>
      </c>
      <c r="F36" s="176" t="s">
        <v>144</v>
      </c>
      <c r="G36" s="176" t="s">
        <v>13</v>
      </c>
      <c r="H36" s="382" t="s">
        <v>88</v>
      </c>
      <c r="I36" s="176" t="s">
        <v>12</v>
      </c>
      <c r="J36" s="400" t="s">
        <v>200</v>
      </c>
      <c r="K36" s="400" t="s">
        <v>199</v>
      </c>
      <c r="L36" s="400" t="s">
        <v>201</v>
      </c>
      <c r="M36" s="400" t="s">
        <v>149</v>
      </c>
      <c r="N36" s="400" t="s">
        <v>179</v>
      </c>
      <c r="O36" s="400" t="s">
        <v>304</v>
      </c>
    </row>
    <row r="37" spans="1:15" ht="30" x14ac:dyDescent="0.25">
      <c r="A37" s="485" t="s">
        <v>84</v>
      </c>
      <c r="B37" s="485" t="s">
        <v>9</v>
      </c>
      <c r="C37" s="485" t="s">
        <v>183</v>
      </c>
      <c r="D37" s="485" t="s">
        <v>142</v>
      </c>
      <c r="E37" s="329" t="s">
        <v>142</v>
      </c>
      <c r="F37" s="485" t="s">
        <v>142</v>
      </c>
      <c r="G37" s="485" t="s">
        <v>22</v>
      </c>
      <c r="H37" s="93">
        <v>41449</v>
      </c>
      <c r="I37" s="485" t="s">
        <v>172</v>
      </c>
      <c r="J37" s="96">
        <v>7.0349999999999996E-2</v>
      </c>
      <c r="K37" s="96" t="s">
        <v>299</v>
      </c>
      <c r="L37" s="292">
        <v>7.0349999999999996E-2</v>
      </c>
      <c r="M37" s="292">
        <f>+O37*50000/1000000</f>
        <v>6.6104999999999997E-2</v>
      </c>
      <c r="N37" s="292">
        <f>M37-L37</f>
        <v>-4.2449999999999988E-3</v>
      </c>
      <c r="O37" s="486">
        <v>1.3221000000000001</v>
      </c>
    </row>
    <row r="38" spans="1:15" ht="30" x14ac:dyDescent="0.25">
      <c r="A38" s="111" t="s">
        <v>297</v>
      </c>
      <c r="B38" s="99"/>
      <c r="C38" s="2"/>
      <c r="D38" s="2"/>
      <c r="E38" s="2"/>
      <c r="F38" s="2"/>
      <c r="G38" s="2"/>
      <c r="H38" s="3"/>
      <c r="I38" s="2"/>
      <c r="J38" s="293"/>
      <c r="K38" s="293"/>
      <c r="L38" s="491">
        <f>L37</f>
        <v>7.0349999999999996E-2</v>
      </c>
      <c r="M38" s="144"/>
      <c r="N38" s="491">
        <f>IF(N37&gt;0,N37,0)</f>
        <v>0</v>
      </c>
      <c r="O38" s="144"/>
    </row>
    <row r="39" spans="1:15" ht="15" x14ac:dyDescent="0.25">
      <c r="A39" s="99"/>
      <c r="B39" s="99"/>
      <c r="C39" s="99"/>
      <c r="D39" s="99"/>
      <c r="E39" s="99"/>
      <c r="F39" s="99"/>
      <c r="G39" s="99"/>
      <c r="H39" s="388"/>
      <c r="I39" s="99"/>
      <c r="J39" s="144"/>
      <c r="K39" s="144"/>
      <c r="L39" s="144"/>
      <c r="M39" s="144"/>
      <c r="N39" s="144"/>
      <c r="O39" s="144"/>
    </row>
    <row r="40" spans="1:15" ht="15" x14ac:dyDescent="0.25">
      <c r="A40" s="99"/>
      <c r="B40" s="99"/>
      <c r="C40" s="99"/>
      <c r="D40" s="99"/>
      <c r="E40" s="99"/>
      <c r="F40" s="99"/>
      <c r="G40" s="99"/>
      <c r="H40" s="388"/>
      <c r="I40" s="99"/>
      <c r="J40" s="77"/>
      <c r="K40" s="144"/>
      <c r="L40" s="144"/>
      <c r="M40" s="77"/>
      <c r="N40" s="77"/>
      <c r="O40" s="77"/>
    </row>
    <row r="41" spans="1:15" ht="15" x14ac:dyDescent="0.25">
      <c r="A41" s="99"/>
      <c r="B41" s="99"/>
      <c r="C41" s="99"/>
      <c r="D41" s="99"/>
      <c r="E41" s="99"/>
      <c r="F41" s="99"/>
      <c r="G41" s="99"/>
      <c r="H41" s="388"/>
      <c r="I41" s="99"/>
      <c r="J41" s="77"/>
      <c r="K41" s="77"/>
      <c r="L41" s="77"/>
      <c r="M41" s="77"/>
      <c r="N41" s="77"/>
      <c r="O41" s="77"/>
    </row>
    <row r="42" spans="1:15" ht="15" x14ac:dyDescent="0.25">
      <c r="A42" s="99"/>
      <c r="B42" s="99"/>
      <c r="C42" s="99"/>
      <c r="D42" s="99"/>
      <c r="E42" s="99"/>
      <c r="F42" s="99"/>
      <c r="G42" s="99"/>
      <c r="H42" s="388"/>
      <c r="I42" s="99"/>
      <c r="J42" s="77"/>
      <c r="K42" s="77"/>
      <c r="L42" s="77"/>
      <c r="M42" s="77"/>
      <c r="N42" s="77"/>
      <c r="O42" s="77"/>
    </row>
    <row r="43" spans="1:15" ht="15" x14ac:dyDescent="0.25">
      <c r="A43" s="99"/>
      <c r="B43" s="99"/>
      <c r="C43" s="99"/>
      <c r="D43" s="99"/>
      <c r="E43" s="99"/>
      <c r="F43" s="99"/>
      <c r="G43" s="99"/>
      <c r="H43" s="388"/>
      <c r="I43" s="99"/>
      <c r="J43" s="77"/>
      <c r="K43" s="77"/>
      <c r="L43" s="77"/>
      <c r="M43" s="77"/>
      <c r="N43" s="77"/>
      <c r="O43" s="77"/>
    </row>
    <row r="44" spans="1:15" ht="15" x14ac:dyDescent="0.25">
      <c r="A44" s="99"/>
      <c r="B44" s="99"/>
      <c r="C44" s="99"/>
      <c r="D44" s="99"/>
      <c r="E44" s="99"/>
      <c r="F44" s="99"/>
      <c r="G44" s="99"/>
      <c r="H44" s="388"/>
      <c r="I44" s="99"/>
      <c r="J44" s="77"/>
      <c r="K44" s="77"/>
      <c r="L44" s="77"/>
      <c r="M44" s="77"/>
      <c r="N44" s="77"/>
      <c r="O44" s="77"/>
    </row>
    <row r="45" spans="1:15" ht="15" x14ac:dyDescent="0.25">
      <c r="A45" s="99"/>
      <c r="B45" s="99"/>
      <c r="C45" s="99"/>
      <c r="D45" s="99"/>
      <c r="E45" s="99"/>
      <c r="F45" s="99"/>
      <c r="G45" s="99"/>
      <c r="H45" s="388"/>
      <c r="I45" s="99"/>
      <c r="J45" s="77"/>
      <c r="K45" s="77"/>
      <c r="L45" s="77"/>
      <c r="M45" s="77"/>
      <c r="N45" s="77"/>
      <c r="O45" s="77"/>
    </row>
    <row r="46" spans="1:15" ht="15" x14ac:dyDescent="0.25">
      <c r="A46" s="99"/>
      <c r="B46" s="99"/>
      <c r="C46" s="99"/>
      <c r="D46" s="99"/>
      <c r="E46" s="99"/>
      <c r="F46" s="99"/>
      <c r="G46" s="99"/>
      <c r="H46" s="388"/>
      <c r="I46" s="99"/>
      <c r="J46" s="77"/>
      <c r="K46" s="77"/>
      <c r="L46" s="77"/>
      <c r="M46" s="77"/>
      <c r="N46" s="77"/>
      <c r="O46" s="77"/>
    </row>
    <row r="47" spans="1:15" ht="15.6" thickBot="1" x14ac:dyDescent="0.3">
      <c r="A47" s="904"/>
      <c r="B47" s="904"/>
      <c r="C47" s="904"/>
      <c r="D47" s="904"/>
      <c r="E47" s="904"/>
      <c r="F47" s="904"/>
      <c r="G47" s="904"/>
      <c r="H47" s="904"/>
      <c r="I47" s="904"/>
      <c r="J47" s="904"/>
      <c r="K47" s="904"/>
      <c r="L47" s="904"/>
      <c r="M47" s="904"/>
      <c r="N47" s="904"/>
      <c r="O47" s="904"/>
    </row>
    <row r="48" spans="1:15" ht="15.6" x14ac:dyDescent="0.3">
      <c r="A48" s="905"/>
      <c r="B48" s="905"/>
      <c r="C48" s="905"/>
      <c r="D48" s="905"/>
      <c r="E48" s="905"/>
      <c r="F48" s="905"/>
      <c r="G48" s="99"/>
      <c r="H48" s="388"/>
      <c r="I48" s="99"/>
      <c r="J48" s="77"/>
      <c r="K48" s="77"/>
      <c r="L48" s="77"/>
      <c r="M48" s="77"/>
      <c r="N48" s="77"/>
      <c r="O48" s="77"/>
    </row>
    <row r="49" spans="1:15" ht="15.6" x14ac:dyDescent="0.3">
      <c r="A49" s="202"/>
      <c r="B49" s="203"/>
      <c r="C49" s="203"/>
      <c r="D49" s="202"/>
      <c r="E49" s="202"/>
      <c r="F49" s="202"/>
      <c r="G49" s="99"/>
      <c r="H49" s="384"/>
      <c r="I49" s="99"/>
      <c r="J49" s="77"/>
      <c r="K49" s="77"/>
      <c r="L49" s="77"/>
      <c r="M49" s="77"/>
      <c r="N49" s="77"/>
      <c r="O49" s="77"/>
    </row>
    <row r="50" spans="1:15" ht="15" x14ac:dyDescent="0.25">
      <c r="A50" s="391"/>
      <c r="B50" s="391"/>
      <c r="C50" s="391"/>
      <c r="D50" s="391"/>
      <c r="E50" s="391"/>
      <c r="F50" s="391"/>
      <c r="G50" s="99"/>
      <c r="H50" s="388"/>
      <c r="I50" s="99"/>
      <c r="J50" s="77"/>
      <c r="K50" s="77"/>
      <c r="L50" s="77"/>
      <c r="M50" s="77"/>
      <c r="N50" s="77"/>
      <c r="O50" s="77"/>
    </row>
    <row r="51" spans="1:15" ht="15" x14ac:dyDescent="0.25">
      <c r="A51" s="395"/>
      <c r="B51" s="392"/>
      <c r="C51" s="392"/>
      <c r="D51" s="392"/>
      <c r="E51" s="392"/>
      <c r="F51" s="205"/>
      <c r="G51" s="99"/>
      <c r="H51" s="388"/>
      <c r="I51" s="99"/>
      <c r="J51" s="77"/>
      <c r="K51" s="77"/>
      <c r="L51" s="77"/>
      <c r="M51" s="77"/>
      <c r="N51" s="77"/>
      <c r="O51" s="77"/>
    </row>
    <row r="52" spans="1:15" ht="15" x14ac:dyDescent="0.25">
      <c r="A52" s="395"/>
      <c r="B52" s="392"/>
      <c r="C52" s="392"/>
      <c r="D52" s="392"/>
      <c r="E52" s="392"/>
      <c r="F52" s="205"/>
      <c r="G52" s="99"/>
      <c r="H52" s="388"/>
      <c r="I52" s="99"/>
      <c r="J52" s="77"/>
      <c r="K52" s="77"/>
      <c r="L52" s="77"/>
      <c r="M52" s="77"/>
      <c r="N52" s="77"/>
      <c r="O52" s="77"/>
    </row>
    <row r="53" spans="1:15" ht="15" x14ac:dyDescent="0.25">
      <c r="A53" s="391"/>
      <c r="B53" s="392"/>
      <c r="C53" s="392"/>
      <c r="D53" s="392"/>
      <c r="E53" s="392"/>
      <c r="F53" s="205"/>
      <c r="G53" s="99"/>
      <c r="H53" s="388"/>
      <c r="I53" s="99"/>
      <c r="J53" s="77"/>
      <c r="K53" s="77"/>
      <c r="L53" s="77"/>
      <c r="M53" s="77"/>
      <c r="N53" s="77"/>
      <c r="O53" s="77"/>
    </row>
    <row r="54" spans="1:15" ht="15" x14ac:dyDescent="0.25">
      <c r="A54" s="395"/>
      <c r="B54" s="392"/>
      <c r="C54" s="392"/>
      <c r="D54" s="392"/>
      <c r="E54" s="392"/>
      <c r="F54" s="205"/>
      <c r="G54" s="99"/>
      <c r="H54" s="388"/>
      <c r="I54" s="99"/>
      <c r="J54" s="77"/>
      <c r="K54" s="77"/>
      <c r="L54" s="77"/>
      <c r="M54" s="77"/>
      <c r="N54" s="77"/>
      <c r="O54" s="77"/>
    </row>
    <row r="55" spans="1:15" ht="15" x14ac:dyDescent="0.25">
      <c r="A55" s="391"/>
      <c r="B55" s="392"/>
      <c r="C55" s="392"/>
      <c r="D55" s="392"/>
      <c r="E55" s="392"/>
      <c r="F55" s="205"/>
      <c r="G55" s="99"/>
      <c r="H55" s="388"/>
      <c r="I55" s="99"/>
      <c r="J55" s="77"/>
      <c r="K55" s="77"/>
      <c r="L55" s="77"/>
      <c r="M55" s="77"/>
      <c r="N55" s="77"/>
      <c r="O55" s="77"/>
    </row>
    <row r="56" spans="1:15" ht="15" x14ac:dyDescent="0.25">
      <c r="A56" s="391"/>
      <c r="B56" s="392"/>
      <c r="C56" s="392"/>
      <c r="D56" s="392"/>
      <c r="E56" s="392"/>
      <c r="F56" s="205"/>
      <c r="G56" s="99"/>
      <c r="H56" s="388"/>
      <c r="I56" s="99"/>
      <c r="J56" s="77"/>
      <c r="K56" s="77"/>
      <c r="L56" s="77"/>
      <c r="M56" s="77"/>
      <c r="N56" s="77"/>
      <c r="O56" s="77"/>
    </row>
    <row r="57" spans="1:15" ht="16.8" x14ac:dyDescent="0.4">
      <c r="A57" s="391"/>
      <c r="B57" s="393"/>
      <c r="C57" s="393"/>
      <c r="D57" s="393"/>
      <c r="E57" s="393"/>
      <c r="F57" s="207"/>
      <c r="G57" s="99"/>
      <c r="H57" s="389"/>
      <c r="I57" s="99"/>
      <c r="J57" s="77"/>
      <c r="K57" s="77"/>
      <c r="L57" s="77"/>
      <c r="M57" s="77"/>
      <c r="N57" s="77"/>
      <c r="O57" s="77"/>
    </row>
    <row r="58" spans="1:15" ht="16.8" x14ac:dyDescent="0.4">
      <c r="A58" s="391"/>
      <c r="B58" s="394"/>
      <c r="C58" s="394"/>
      <c r="D58" s="394"/>
      <c r="E58" s="394"/>
      <c r="F58" s="210"/>
      <c r="G58" s="99"/>
      <c r="H58" s="390"/>
      <c r="I58" s="99"/>
      <c r="J58" s="77"/>
      <c r="K58" s="77"/>
      <c r="L58" s="77"/>
      <c r="M58" s="77"/>
      <c r="N58" s="77"/>
      <c r="O58" s="77"/>
    </row>
    <row r="59" spans="1:15" ht="15" x14ac:dyDescent="0.25">
      <c r="A59" s="391"/>
      <c r="B59" s="391"/>
      <c r="C59" s="391"/>
      <c r="D59" s="391"/>
      <c r="E59" s="391"/>
      <c r="F59" s="391"/>
      <c r="G59" s="99"/>
      <c r="H59" s="388"/>
      <c r="I59" s="99"/>
      <c r="J59" s="77"/>
      <c r="K59" s="77"/>
      <c r="L59" s="77"/>
      <c r="M59" s="77"/>
      <c r="N59" s="77"/>
      <c r="O59" s="77"/>
    </row>
    <row r="60" spans="1:15" ht="15" x14ac:dyDescent="0.25">
      <c r="A60" s="99"/>
      <c r="B60" s="99"/>
      <c r="C60" s="99"/>
      <c r="D60" s="99"/>
      <c r="E60" s="99"/>
      <c r="F60" s="99"/>
      <c r="G60" s="99"/>
      <c r="H60" s="388"/>
      <c r="I60" s="99"/>
      <c r="J60" s="77"/>
      <c r="K60" s="77"/>
      <c r="L60" s="77"/>
      <c r="M60" s="77"/>
      <c r="N60" s="77"/>
      <c r="O60" s="77"/>
    </row>
    <row r="61" spans="1:15" ht="15" x14ac:dyDescent="0.25">
      <c r="A61" s="99"/>
      <c r="B61" s="99"/>
      <c r="C61" s="99"/>
      <c r="D61" s="99"/>
      <c r="E61" s="99"/>
      <c r="F61" s="99"/>
      <c r="G61" s="99"/>
      <c r="H61" s="388"/>
      <c r="I61" s="99"/>
      <c r="J61" s="77"/>
      <c r="K61" s="77"/>
      <c r="L61" s="77"/>
      <c r="M61" s="77"/>
      <c r="N61" s="77"/>
      <c r="O61" s="77"/>
    </row>
    <row r="62" spans="1:15" ht="15" x14ac:dyDescent="0.25">
      <c r="A62" s="99"/>
      <c r="B62" s="99"/>
      <c r="C62" s="99"/>
      <c r="D62" s="99"/>
      <c r="E62" s="99"/>
      <c r="F62" s="99"/>
      <c r="G62" s="99"/>
      <c r="H62" s="388"/>
      <c r="I62" s="99"/>
      <c r="J62" s="77"/>
      <c r="K62" s="77"/>
      <c r="L62" s="77"/>
      <c r="M62" s="77"/>
      <c r="N62" s="77"/>
      <c r="O62" s="77"/>
    </row>
    <row r="63" spans="1:15" ht="15" x14ac:dyDescent="0.25">
      <c r="A63" s="99"/>
      <c r="B63" s="99"/>
      <c r="C63" s="99"/>
      <c r="D63" s="99"/>
      <c r="E63" s="99"/>
      <c r="F63" s="99"/>
      <c r="G63" s="99"/>
      <c r="H63" s="388"/>
      <c r="I63" s="99"/>
      <c r="J63" s="77"/>
      <c r="K63" s="77"/>
      <c r="L63" s="77"/>
      <c r="M63" s="77"/>
      <c r="N63" s="77"/>
      <c r="O63" s="77"/>
    </row>
    <row r="64" spans="1:15" ht="15" x14ac:dyDescent="0.25">
      <c r="A64" s="99"/>
      <c r="B64" s="99"/>
      <c r="C64" s="99"/>
      <c r="D64" s="99"/>
      <c r="E64" s="99"/>
      <c r="F64" s="99"/>
      <c r="G64" s="99"/>
      <c r="H64" s="388"/>
      <c r="I64" s="99"/>
      <c r="J64" s="77"/>
      <c r="K64" s="77"/>
      <c r="L64" s="77"/>
      <c r="M64" s="77"/>
      <c r="N64" s="77"/>
      <c r="O64" s="77"/>
    </row>
    <row r="65" spans="1:15" ht="15" x14ac:dyDescent="0.25">
      <c r="A65" s="99"/>
      <c r="B65" s="99"/>
      <c r="C65" s="99"/>
      <c r="D65" s="99"/>
      <c r="E65" s="99"/>
      <c r="F65" s="99"/>
      <c r="G65" s="99"/>
      <c r="H65" s="388"/>
      <c r="I65" s="99"/>
      <c r="J65" s="77"/>
      <c r="K65" s="77"/>
      <c r="L65" s="77"/>
      <c r="M65" s="77"/>
      <c r="N65" s="77"/>
      <c r="O65" s="77"/>
    </row>
    <row r="66" spans="1:15" ht="15" x14ac:dyDescent="0.25">
      <c r="A66" s="99"/>
      <c r="B66" s="99"/>
      <c r="C66" s="99"/>
      <c r="D66" s="99"/>
      <c r="E66" s="99"/>
      <c r="F66" s="99"/>
      <c r="G66" s="99"/>
      <c r="H66" s="388"/>
      <c r="I66" s="99"/>
      <c r="J66" s="77"/>
      <c r="K66" s="77"/>
      <c r="L66" s="77"/>
      <c r="M66" s="77"/>
      <c r="N66" s="77"/>
      <c r="O66" s="77"/>
    </row>
    <row r="67" spans="1:15" ht="15" x14ac:dyDescent="0.25">
      <c r="A67" s="99"/>
      <c r="B67" s="99"/>
      <c r="C67" s="99"/>
      <c r="D67" s="99"/>
      <c r="E67" s="99"/>
      <c r="F67" s="99"/>
      <c r="G67" s="99"/>
      <c r="H67" s="388"/>
      <c r="I67" s="99"/>
      <c r="J67" s="77"/>
      <c r="K67" s="77"/>
      <c r="L67" s="77"/>
      <c r="M67" s="77"/>
      <c r="N67" s="77"/>
      <c r="O67" s="77"/>
    </row>
    <row r="68" spans="1:15" ht="15" x14ac:dyDescent="0.25">
      <c r="A68" s="99"/>
      <c r="B68" s="99"/>
      <c r="C68" s="99"/>
      <c r="D68" s="99"/>
      <c r="E68" s="99"/>
      <c r="F68" s="99"/>
      <c r="G68" s="99"/>
      <c r="H68" s="388"/>
      <c r="I68" s="99"/>
      <c r="J68" s="77"/>
      <c r="K68" s="77"/>
      <c r="L68" s="77"/>
      <c r="M68" s="77"/>
      <c r="N68" s="77"/>
      <c r="O68" s="77"/>
    </row>
    <row r="69" spans="1:15" ht="15" x14ac:dyDescent="0.25">
      <c r="A69" s="99"/>
      <c r="B69" s="99"/>
      <c r="C69" s="99"/>
      <c r="D69" s="99"/>
      <c r="E69" s="99"/>
      <c r="F69" s="99"/>
      <c r="G69" s="99"/>
      <c r="H69" s="388"/>
      <c r="I69" s="99"/>
      <c r="J69" s="77"/>
      <c r="K69" s="77"/>
      <c r="L69" s="77"/>
      <c r="M69" s="77"/>
      <c r="N69" s="77"/>
      <c r="O69" s="77"/>
    </row>
    <row r="70" spans="1:15" ht="15" x14ac:dyDescent="0.25">
      <c r="A70" s="99"/>
      <c r="B70" s="99"/>
      <c r="C70" s="99"/>
      <c r="D70" s="99"/>
      <c r="E70" s="99"/>
      <c r="F70" s="99"/>
      <c r="G70" s="99"/>
      <c r="H70" s="388"/>
      <c r="I70" s="99"/>
      <c r="J70" s="77"/>
      <c r="K70" s="77"/>
      <c r="L70" s="77"/>
      <c r="M70" s="77"/>
      <c r="N70" s="77"/>
      <c r="O70" s="77"/>
    </row>
    <row r="71" spans="1:15" ht="15" x14ac:dyDescent="0.25">
      <c r="A71" s="99"/>
      <c r="B71" s="99"/>
      <c r="C71" s="99"/>
      <c r="D71" s="99"/>
      <c r="E71" s="99"/>
      <c r="F71" s="99"/>
      <c r="G71" s="99"/>
      <c r="H71" s="388"/>
      <c r="I71" s="99"/>
      <c r="J71" s="77"/>
      <c r="K71" s="77"/>
      <c r="L71" s="77"/>
      <c r="M71" s="77"/>
      <c r="N71" s="77"/>
      <c r="O71" s="77"/>
    </row>
    <row r="72" spans="1:15" ht="15" x14ac:dyDescent="0.25">
      <c r="A72" s="99"/>
      <c r="B72" s="99"/>
      <c r="C72" s="99"/>
      <c r="D72" s="99"/>
      <c r="E72" s="99"/>
      <c r="F72" s="99"/>
      <c r="G72" s="99"/>
      <c r="H72" s="388"/>
      <c r="I72" s="99"/>
      <c r="J72" s="77"/>
      <c r="K72" s="77"/>
      <c r="L72" s="77"/>
      <c r="M72" s="77"/>
      <c r="N72" s="77"/>
      <c r="O72" s="77"/>
    </row>
    <row r="73" spans="1:15" ht="15" x14ac:dyDescent="0.25">
      <c r="A73" s="99"/>
      <c r="B73" s="99"/>
      <c r="C73" s="99"/>
      <c r="D73" s="99"/>
      <c r="E73" s="99"/>
      <c r="F73" s="99"/>
      <c r="G73" s="99"/>
      <c r="H73" s="388"/>
      <c r="I73" s="99"/>
      <c r="J73" s="77"/>
      <c r="K73" s="77"/>
      <c r="L73" s="77"/>
      <c r="M73" s="77"/>
      <c r="N73" s="77"/>
      <c r="O73" s="77"/>
    </row>
    <row r="74" spans="1:15" ht="15" x14ac:dyDescent="0.25">
      <c r="A74" s="99"/>
      <c r="B74" s="99"/>
      <c r="C74" s="99"/>
      <c r="D74" s="99"/>
      <c r="E74" s="99"/>
      <c r="F74" s="99"/>
      <c r="G74" s="99"/>
      <c r="H74" s="388"/>
      <c r="I74" s="99"/>
      <c r="J74" s="77"/>
      <c r="K74" s="77"/>
      <c r="L74" s="77"/>
      <c r="M74" s="77"/>
      <c r="N74" s="77"/>
      <c r="O74" s="77"/>
    </row>
    <row r="75" spans="1:15" ht="15" x14ac:dyDescent="0.25">
      <c r="A75" s="99"/>
      <c r="B75" s="99"/>
      <c r="C75" s="99"/>
      <c r="D75" s="99"/>
      <c r="E75" s="99"/>
      <c r="F75" s="99"/>
      <c r="G75" s="99"/>
      <c r="H75" s="388"/>
      <c r="I75" s="99"/>
      <c r="J75" s="77"/>
      <c r="K75" s="77"/>
      <c r="L75" s="77"/>
      <c r="M75" s="77"/>
      <c r="N75" s="77"/>
      <c r="O75" s="77"/>
    </row>
    <row r="76" spans="1:15" ht="15" x14ac:dyDescent="0.25">
      <c r="A76" s="99"/>
      <c r="B76" s="99"/>
      <c r="C76" s="99"/>
      <c r="D76" s="99"/>
      <c r="E76" s="99"/>
      <c r="F76" s="99"/>
      <c r="G76" s="99"/>
      <c r="H76" s="388"/>
      <c r="I76" s="99"/>
      <c r="J76" s="77"/>
      <c r="K76" s="77"/>
      <c r="L76" s="77"/>
      <c r="M76" s="77"/>
      <c r="N76" s="77"/>
      <c r="O76" s="77"/>
    </row>
    <row r="77" spans="1:15" ht="15" x14ac:dyDescent="0.25">
      <c r="A77" s="99"/>
      <c r="B77" s="99"/>
      <c r="C77" s="99"/>
      <c r="D77" s="99"/>
      <c r="E77" s="99"/>
      <c r="F77" s="99"/>
      <c r="G77" s="99"/>
      <c r="H77" s="388"/>
      <c r="I77" s="99"/>
      <c r="J77" s="77"/>
      <c r="K77" s="77"/>
      <c r="L77" s="77"/>
      <c r="M77" s="77"/>
      <c r="N77" s="77"/>
      <c r="O77" s="77"/>
    </row>
    <row r="78" spans="1:15" ht="15" x14ac:dyDescent="0.25">
      <c r="A78" s="99"/>
      <c r="B78" s="99"/>
      <c r="C78" s="99"/>
      <c r="D78" s="99"/>
      <c r="E78" s="99"/>
      <c r="F78" s="99"/>
      <c r="G78" s="99"/>
      <c r="H78" s="388"/>
      <c r="I78" s="99"/>
      <c r="J78" s="77"/>
      <c r="K78" s="77"/>
      <c r="L78" s="77"/>
      <c r="M78" s="77"/>
      <c r="N78" s="77"/>
      <c r="O78" s="77"/>
    </row>
    <row r="79" spans="1:15" ht="15" x14ac:dyDescent="0.25">
      <c r="A79" s="99"/>
      <c r="B79" s="99"/>
      <c r="C79" s="99"/>
      <c r="D79" s="99"/>
      <c r="E79" s="99"/>
      <c r="F79" s="99"/>
      <c r="G79" s="99"/>
      <c r="H79" s="388"/>
      <c r="I79" s="99"/>
      <c r="J79" s="77"/>
      <c r="K79" s="77"/>
      <c r="L79" s="77"/>
      <c r="M79" s="77"/>
      <c r="N79" s="77"/>
      <c r="O79" s="77"/>
    </row>
    <row r="80" spans="1:15" ht="15" x14ac:dyDescent="0.25">
      <c r="A80" s="99"/>
      <c r="B80" s="99"/>
      <c r="C80" s="99"/>
      <c r="D80" s="99"/>
      <c r="E80" s="99"/>
      <c r="F80" s="99"/>
      <c r="G80" s="99"/>
      <c r="H80" s="388"/>
      <c r="I80" s="99"/>
      <c r="J80" s="77"/>
      <c r="K80" s="77"/>
      <c r="L80" s="77"/>
      <c r="M80" s="77"/>
      <c r="N80" s="77"/>
      <c r="O80" s="77"/>
    </row>
    <row r="81" spans="1:15" ht="15" x14ac:dyDescent="0.25">
      <c r="A81" s="99"/>
      <c r="B81" s="99"/>
      <c r="C81" s="99"/>
      <c r="D81" s="99"/>
      <c r="E81" s="99"/>
      <c r="F81" s="99"/>
      <c r="G81" s="99"/>
      <c r="H81" s="388"/>
      <c r="I81" s="99"/>
      <c r="J81" s="77"/>
      <c r="K81" s="77"/>
      <c r="L81" s="77"/>
      <c r="M81" s="77"/>
      <c r="N81" s="77"/>
      <c r="O81" s="77"/>
    </row>
    <row r="82" spans="1:15" ht="15" x14ac:dyDescent="0.25">
      <c r="A82" s="99"/>
      <c r="B82" s="99"/>
      <c r="C82" s="99"/>
      <c r="D82" s="99"/>
      <c r="E82" s="99"/>
      <c r="F82" s="99"/>
      <c r="G82" s="99"/>
      <c r="H82" s="388"/>
      <c r="I82" s="99"/>
      <c r="J82" s="77"/>
      <c r="K82" s="77"/>
      <c r="L82" s="77"/>
      <c r="M82" s="77"/>
      <c r="N82" s="77"/>
      <c r="O82" s="77"/>
    </row>
    <row r="83" spans="1:15" ht="15" x14ac:dyDescent="0.25">
      <c r="A83" s="99"/>
      <c r="B83" s="99"/>
      <c r="C83" s="99"/>
      <c r="D83" s="99"/>
      <c r="E83" s="99"/>
      <c r="F83" s="99"/>
      <c r="G83" s="99"/>
      <c r="H83" s="388"/>
      <c r="I83" s="99"/>
      <c r="J83" s="77"/>
      <c r="K83" s="77"/>
      <c r="L83" s="77"/>
      <c r="M83" s="77"/>
      <c r="N83" s="77"/>
      <c r="O83" s="77"/>
    </row>
    <row r="84" spans="1:15" ht="15" x14ac:dyDescent="0.25">
      <c r="A84" s="99"/>
      <c r="B84" s="99"/>
      <c r="C84" s="99"/>
      <c r="D84" s="99"/>
      <c r="E84" s="99"/>
      <c r="F84" s="99"/>
      <c r="G84" s="99"/>
      <c r="H84" s="388"/>
      <c r="I84" s="99"/>
      <c r="J84" s="77"/>
      <c r="K84" s="77"/>
      <c r="L84" s="77"/>
      <c r="M84" s="77"/>
      <c r="N84" s="77"/>
      <c r="O84" s="77"/>
    </row>
    <row r="85" spans="1:15" ht="15" x14ac:dyDescent="0.25">
      <c r="A85" s="99"/>
      <c r="B85" s="99"/>
      <c r="C85" s="99"/>
      <c r="D85" s="99"/>
      <c r="E85" s="99"/>
      <c r="F85" s="99"/>
      <c r="G85" s="99"/>
      <c r="H85" s="388"/>
      <c r="I85" s="99"/>
      <c r="J85" s="77"/>
      <c r="K85" s="77"/>
      <c r="L85" s="77"/>
      <c r="M85" s="77"/>
      <c r="N85" s="77"/>
      <c r="O85" s="77"/>
    </row>
    <row r="86" spans="1:15" ht="15" x14ac:dyDescent="0.25">
      <c r="A86" s="99"/>
      <c r="B86" s="99"/>
      <c r="C86" s="99"/>
      <c r="D86" s="99"/>
      <c r="E86" s="99"/>
      <c r="F86" s="99"/>
      <c r="G86" s="99"/>
      <c r="H86" s="388"/>
      <c r="I86" s="99"/>
      <c r="J86" s="77"/>
      <c r="K86" s="77"/>
      <c r="L86" s="77"/>
      <c r="M86" s="77"/>
      <c r="N86" s="77"/>
      <c r="O86" s="77"/>
    </row>
    <row r="87" spans="1:15" ht="15" x14ac:dyDescent="0.25">
      <c r="A87" s="99"/>
      <c r="B87" s="99"/>
      <c r="C87" s="99"/>
      <c r="D87" s="99"/>
      <c r="E87" s="99"/>
      <c r="F87" s="99"/>
      <c r="G87" s="99"/>
      <c r="H87" s="388"/>
      <c r="I87" s="99"/>
      <c r="J87" s="77"/>
      <c r="K87" s="77"/>
      <c r="L87" s="77"/>
      <c r="M87" s="77"/>
      <c r="N87" s="77"/>
      <c r="O87" s="77"/>
    </row>
    <row r="88" spans="1:15" ht="15" x14ac:dyDescent="0.25">
      <c r="A88" s="99"/>
      <c r="B88" s="99"/>
      <c r="C88" s="99"/>
      <c r="D88" s="99"/>
      <c r="E88" s="99"/>
      <c r="F88" s="99"/>
      <c r="G88" s="99"/>
      <c r="H88" s="388"/>
      <c r="I88" s="99"/>
      <c r="J88" s="77"/>
      <c r="K88" s="77"/>
      <c r="L88" s="77"/>
      <c r="M88" s="77"/>
      <c r="N88" s="77"/>
      <c r="O88" s="77"/>
    </row>
    <row r="89" spans="1:15" ht="15" x14ac:dyDescent="0.25">
      <c r="A89" s="99"/>
      <c r="B89" s="99"/>
      <c r="C89" s="99"/>
      <c r="D89" s="99"/>
      <c r="E89" s="99"/>
      <c r="F89" s="99"/>
      <c r="G89" s="99"/>
      <c r="H89" s="388"/>
      <c r="I89" s="99"/>
      <c r="J89" s="77"/>
      <c r="K89" s="77"/>
      <c r="L89" s="77"/>
      <c r="M89" s="77"/>
      <c r="N89" s="77"/>
      <c r="O89" s="77"/>
    </row>
    <row r="90" spans="1:15" ht="15" x14ac:dyDescent="0.25">
      <c r="A90" s="99"/>
      <c r="B90" s="99"/>
      <c r="C90" s="99"/>
      <c r="D90" s="99"/>
      <c r="E90" s="99"/>
      <c r="F90" s="99"/>
      <c r="G90" s="99"/>
      <c r="H90" s="388"/>
      <c r="I90" s="99"/>
      <c r="J90" s="77"/>
      <c r="K90" s="77"/>
      <c r="L90" s="77"/>
      <c r="M90" s="77"/>
      <c r="N90" s="77"/>
      <c r="O90" s="77"/>
    </row>
    <row r="91" spans="1:15" ht="15" x14ac:dyDescent="0.25">
      <c r="A91" s="99"/>
      <c r="B91" s="99"/>
      <c r="C91" s="99"/>
      <c r="D91" s="99"/>
      <c r="E91" s="99"/>
      <c r="F91" s="99"/>
      <c r="G91" s="99"/>
      <c r="H91" s="388"/>
      <c r="I91" s="99"/>
      <c r="J91" s="77"/>
      <c r="K91" s="77"/>
      <c r="L91" s="77"/>
      <c r="M91" s="77"/>
      <c r="N91" s="77"/>
      <c r="O91" s="77"/>
    </row>
    <row r="92" spans="1:15" ht="15" x14ac:dyDescent="0.25">
      <c r="A92" s="99"/>
      <c r="B92" s="99"/>
      <c r="C92" s="99"/>
      <c r="D92" s="99"/>
      <c r="E92" s="99"/>
      <c r="F92" s="99"/>
      <c r="G92" s="99"/>
      <c r="H92" s="388"/>
      <c r="I92" s="99"/>
      <c r="J92" s="77"/>
      <c r="K92" s="77"/>
      <c r="L92" s="77"/>
      <c r="M92" s="77"/>
      <c r="N92" s="77"/>
      <c r="O92" s="77"/>
    </row>
    <row r="93" spans="1:15" ht="15" x14ac:dyDescent="0.25">
      <c r="A93" s="99"/>
      <c r="B93" s="99"/>
      <c r="C93" s="99"/>
      <c r="D93" s="99"/>
      <c r="E93" s="99"/>
      <c r="F93" s="99"/>
      <c r="G93" s="99"/>
      <c r="H93" s="388"/>
      <c r="I93" s="99"/>
      <c r="J93" s="77"/>
      <c r="K93" s="77"/>
      <c r="L93" s="77"/>
      <c r="M93" s="77"/>
      <c r="N93" s="77"/>
      <c r="O93" s="77"/>
    </row>
    <row r="94" spans="1:15" ht="15" x14ac:dyDescent="0.25">
      <c r="A94" s="99"/>
      <c r="B94" s="99"/>
      <c r="C94" s="99"/>
      <c r="D94" s="99"/>
      <c r="E94" s="99"/>
      <c r="F94" s="99"/>
      <c r="G94" s="99"/>
      <c r="H94" s="388"/>
      <c r="I94" s="99"/>
      <c r="J94" s="77"/>
      <c r="K94" s="77"/>
      <c r="L94" s="77"/>
      <c r="M94" s="77"/>
      <c r="N94" s="77"/>
      <c r="O94" s="77"/>
    </row>
    <row r="95" spans="1:15" ht="15" x14ac:dyDescent="0.25">
      <c r="A95" s="99"/>
      <c r="B95" s="99"/>
      <c r="C95" s="99"/>
      <c r="D95" s="99"/>
      <c r="E95" s="99"/>
      <c r="F95" s="99"/>
      <c r="G95" s="99"/>
      <c r="H95" s="388"/>
      <c r="I95" s="99"/>
      <c r="J95" s="77"/>
      <c r="K95" s="77"/>
      <c r="L95" s="77"/>
      <c r="M95" s="77"/>
      <c r="N95" s="77"/>
      <c r="O95" s="77"/>
    </row>
    <row r="96" spans="1:15" ht="15" x14ac:dyDescent="0.25">
      <c r="A96" s="99"/>
      <c r="B96" s="99"/>
      <c r="C96" s="99"/>
      <c r="D96" s="99"/>
      <c r="E96" s="99"/>
      <c r="F96" s="99"/>
      <c r="G96" s="99"/>
      <c r="H96" s="388"/>
      <c r="I96" s="99"/>
      <c r="J96" s="77"/>
      <c r="K96" s="77"/>
      <c r="L96" s="77"/>
      <c r="M96" s="77"/>
      <c r="N96" s="77"/>
      <c r="O96" s="77"/>
    </row>
    <row r="97" spans="1:15" ht="15" x14ac:dyDescent="0.25">
      <c r="A97" s="99"/>
      <c r="B97" s="99"/>
      <c r="C97" s="99"/>
      <c r="D97" s="99"/>
      <c r="E97" s="99"/>
      <c r="F97" s="99"/>
      <c r="G97" s="99"/>
      <c r="H97" s="388"/>
      <c r="I97" s="99"/>
      <c r="J97" s="77"/>
      <c r="K97" s="77"/>
      <c r="L97" s="77"/>
      <c r="M97" s="77"/>
      <c r="N97" s="77"/>
      <c r="O97" s="77"/>
    </row>
    <row r="98" spans="1:15" ht="15" x14ac:dyDescent="0.25">
      <c r="A98" s="99"/>
      <c r="B98" s="99"/>
      <c r="C98" s="99"/>
      <c r="D98" s="99"/>
      <c r="E98" s="99"/>
      <c r="F98" s="99"/>
      <c r="G98" s="99"/>
      <c r="H98" s="388"/>
      <c r="I98" s="99"/>
      <c r="J98" s="77"/>
      <c r="K98" s="77"/>
      <c r="L98" s="77"/>
      <c r="M98" s="77"/>
      <c r="N98" s="77"/>
      <c r="O98" s="77"/>
    </row>
    <row r="99" spans="1:15" ht="15" x14ac:dyDescent="0.25">
      <c r="A99" s="99"/>
      <c r="B99" s="99"/>
      <c r="C99" s="99"/>
      <c r="D99" s="99"/>
      <c r="E99" s="99"/>
      <c r="F99" s="99"/>
      <c r="G99" s="99"/>
      <c r="H99" s="388"/>
      <c r="I99" s="99"/>
      <c r="J99" s="77"/>
      <c r="K99" s="77"/>
      <c r="L99" s="77"/>
      <c r="M99" s="77"/>
      <c r="N99" s="77"/>
      <c r="O99" s="77"/>
    </row>
    <row r="100" spans="1:15" ht="15.6" thickBot="1" x14ac:dyDescent="0.3">
      <c r="A100" s="99"/>
      <c r="B100" s="99"/>
      <c r="C100" s="99"/>
      <c r="D100" s="99"/>
      <c r="E100" s="99"/>
      <c r="F100" s="99"/>
      <c r="G100" s="99"/>
      <c r="H100" s="388"/>
      <c r="I100" s="99"/>
      <c r="J100" s="77"/>
      <c r="K100" s="77"/>
      <c r="L100" s="77"/>
      <c r="M100" s="77"/>
      <c r="N100" s="77"/>
      <c r="O100" s="77"/>
    </row>
    <row r="101" spans="1:15" ht="15" x14ac:dyDescent="0.25">
      <c r="A101" s="894" t="s">
        <v>195</v>
      </c>
      <c r="B101" s="895"/>
      <c r="C101" s="895"/>
      <c r="D101" s="895"/>
      <c r="E101" s="895"/>
      <c r="F101" s="896"/>
      <c r="G101" s="99"/>
      <c r="H101" s="388"/>
      <c r="I101" s="99"/>
      <c r="J101" s="77"/>
      <c r="K101" s="77"/>
      <c r="L101" s="77"/>
      <c r="M101" s="77"/>
      <c r="N101" s="77"/>
      <c r="O101" s="77"/>
    </row>
    <row r="102" spans="1:15" ht="15.6" thickBot="1" x14ac:dyDescent="0.3">
      <c r="A102" s="897"/>
      <c r="B102" s="898"/>
      <c r="C102" s="898"/>
      <c r="D102" s="898"/>
      <c r="E102" s="898"/>
      <c r="F102" s="899"/>
      <c r="G102" s="99"/>
      <c r="H102" s="388"/>
      <c r="I102" s="99"/>
      <c r="J102" s="77"/>
      <c r="K102" s="77"/>
      <c r="L102" s="77"/>
      <c r="M102" s="77"/>
      <c r="N102" s="77"/>
      <c r="O102" s="77"/>
    </row>
    <row r="103" spans="1:15" ht="15" x14ac:dyDescent="0.25">
      <c r="A103" s="162" t="s">
        <v>5</v>
      </c>
      <c r="B103" s="161" t="s">
        <v>6</v>
      </c>
      <c r="C103" s="161" t="s">
        <v>13</v>
      </c>
      <c r="D103" s="161" t="s">
        <v>82</v>
      </c>
      <c r="E103" s="161" t="s">
        <v>115</v>
      </c>
      <c r="F103" s="163" t="s">
        <v>116</v>
      </c>
      <c r="G103" s="99"/>
      <c r="H103" s="388"/>
      <c r="I103" s="99"/>
      <c r="J103" s="77"/>
      <c r="K103" s="77"/>
      <c r="L103" s="77"/>
      <c r="M103" s="77"/>
      <c r="N103" s="77"/>
      <c r="O103" s="77"/>
    </row>
    <row r="104" spans="1:15" ht="15" x14ac:dyDescent="0.25">
      <c r="A104" s="396" t="s">
        <v>239</v>
      </c>
      <c r="B104" s="106"/>
      <c r="C104" s="106"/>
      <c r="D104" s="106"/>
      <c r="E104" s="106"/>
      <c r="F104" s="107"/>
      <c r="G104" s="99"/>
      <c r="H104" s="388"/>
      <c r="I104" s="99"/>
      <c r="J104" s="77"/>
      <c r="K104" s="77"/>
      <c r="L104" s="77"/>
      <c r="M104" s="77"/>
      <c r="N104" s="77"/>
      <c r="O104" s="77"/>
    </row>
    <row r="105" spans="1:15" ht="30" x14ac:dyDescent="0.25">
      <c r="A105" s="396" t="s">
        <v>91</v>
      </c>
      <c r="B105" s="106" t="s">
        <v>190</v>
      </c>
      <c r="C105" s="106" t="s">
        <v>18</v>
      </c>
      <c r="D105" s="106" t="s">
        <v>8</v>
      </c>
      <c r="E105" s="106" t="s">
        <v>36</v>
      </c>
      <c r="F105" s="107" t="s">
        <v>29</v>
      </c>
      <c r="G105" s="99"/>
      <c r="H105" s="388"/>
      <c r="I105" s="99"/>
      <c r="J105" s="77"/>
      <c r="K105" s="77"/>
      <c r="L105" s="77"/>
      <c r="M105" s="77"/>
      <c r="N105" s="77"/>
      <c r="O105" s="77"/>
    </row>
    <row r="106" spans="1:15" ht="30" x14ac:dyDescent="0.25">
      <c r="A106" s="397" t="s">
        <v>27</v>
      </c>
      <c r="B106" s="106" t="s">
        <v>192</v>
      </c>
      <c r="C106" s="106" t="s">
        <v>15</v>
      </c>
      <c r="D106" s="106" t="s">
        <v>84</v>
      </c>
      <c r="E106" s="106" t="s">
        <v>35</v>
      </c>
      <c r="F106" s="107" t="s">
        <v>28</v>
      </c>
      <c r="G106" s="99"/>
      <c r="H106" s="388"/>
      <c r="I106" s="99"/>
      <c r="J106" s="77"/>
      <c r="K106" s="77"/>
      <c r="L106" s="77"/>
      <c r="M106" s="77"/>
      <c r="N106" s="77"/>
      <c r="O106" s="77"/>
    </row>
    <row r="107" spans="1:15" ht="30" x14ac:dyDescent="0.25">
      <c r="A107" s="397" t="s">
        <v>125</v>
      </c>
      <c r="B107" s="106" t="s">
        <v>191</v>
      </c>
      <c r="C107" s="106" t="s">
        <v>16</v>
      </c>
      <c r="D107" s="106"/>
      <c r="E107" s="106" t="s">
        <v>46</v>
      </c>
      <c r="F107" s="107" t="s">
        <v>34</v>
      </c>
      <c r="G107" s="99"/>
      <c r="H107" s="388"/>
      <c r="I107" s="99"/>
      <c r="J107" s="77"/>
      <c r="K107" s="77"/>
      <c r="L107" s="77"/>
      <c r="M107" s="77"/>
      <c r="N107" s="77"/>
      <c r="O107" s="77"/>
    </row>
    <row r="108" spans="1:15" ht="15" x14ac:dyDescent="0.25">
      <c r="A108" s="396" t="s">
        <v>128</v>
      </c>
      <c r="B108" s="106" t="s">
        <v>193</v>
      </c>
      <c r="C108" s="106" t="s">
        <v>20</v>
      </c>
      <c r="D108" s="106"/>
      <c r="E108" s="106" t="s">
        <v>44</v>
      </c>
      <c r="F108" s="107" t="s">
        <v>142</v>
      </c>
      <c r="G108" s="99"/>
      <c r="H108" s="388"/>
      <c r="I108" s="99"/>
      <c r="J108" s="77"/>
      <c r="K108" s="77"/>
      <c r="L108" s="77"/>
      <c r="M108" s="77"/>
      <c r="N108" s="77"/>
      <c r="O108" s="77"/>
    </row>
    <row r="109" spans="1:15" ht="15" x14ac:dyDescent="0.25">
      <c r="A109" s="397" t="s">
        <v>326</v>
      </c>
      <c r="B109" s="106"/>
      <c r="C109" s="106" t="s">
        <v>19</v>
      </c>
      <c r="D109" s="106"/>
      <c r="E109" s="106" t="s">
        <v>37</v>
      </c>
      <c r="F109" s="107" t="s">
        <v>30</v>
      </c>
      <c r="G109" s="99"/>
      <c r="H109" s="388"/>
      <c r="I109" s="99"/>
      <c r="J109" s="77"/>
      <c r="K109" s="77"/>
      <c r="L109" s="77"/>
      <c r="M109" s="77"/>
      <c r="N109" s="77"/>
      <c r="O109" s="77"/>
    </row>
    <row r="110" spans="1:15" ht="30" x14ac:dyDescent="0.25">
      <c r="A110" s="396" t="s">
        <v>308</v>
      </c>
      <c r="B110" s="106"/>
      <c r="C110" s="106" t="s">
        <v>21</v>
      </c>
      <c r="D110" s="106"/>
      <c r="E110" s="106" t="s">
        <v>117</v>
      </c>
      <c r="F110" s="107" t="s">
        <v>121</v>
      </c>
      <c r="G110" s="99"/>
      <c r="H110" s="388"/>
      <c r="I110" s="99"/>
      <c r="J110" s="77"/>
      <c r="K110" s="77"/>
      <c r="L110" s="77"/>
      <c r="M110" s="77"/>
      <c r="N110" s="77"/>
      <c r="O110" s="77"/>
    </row>
    <row r="111" spans="1:15" ht="30" x14ac:dyDescent="0.25">
      <c r="A111" s="396" t="s">
        <v>309</v>
      </c>
      <c r="B111" s="106"/>
      <c r="C111" s="106" t="s">
        <v>14</v>
      </c>
      <c r="D111" s="106"/>
      <c r="E111" s="106" t="s">
        <v>42</v>
      </c>
      <c r="F111" s="107" t="s">
        <v>40</v>
      </c>
      <c r="G111" s="99"/>
      <c r="H111" s="388"/>
      <c r="I111" s="99"/>
      <c r="J111" s="77"/>
      <c r="K111" s="77"/>
      <c r="L111" s="77"/>
      <c r="M111" s="77"/>
      <c r="N111" s="77"/>
      <c r="O111" s="77"/>
    </row>
    <row r="112" spans="1:15" ht="30" x14ac:dyDescent="0.25">
      <c r="A112" s="396" t="s">
        <v>307</v>
      </c>
      <c r="B112" s="106"/>
      <c r="C112" s="106" t="s">
        <v>17</v>
      </c>
      <c r="D112" s="106"/>
      <c r="E112" s="106" t="s">
        <v>38</v>
      </c>
      <c r="F112" s="107" t="s">
        <v>31</v>
      </c>
      <c r="G112" s="99"/>
      <c r="H112" s="388"/>
      <c r="I112" s="99"/>
      <c r="J112" s="77"/>
      <c r="K112" s="77"/>
      <c r="L112" s="77"/>
      <c r="M112" s="77"/>
      <c r="N112" s="77"/>
      <c r="O112" s="77"/>
    </row>
    <row r="113" spans="1:15" ht="15" x14ac:dyDescent="0.25">
      <c r="A113" s="397" t="s">
        <v>4</v>
      </c>
      <c r="B113" s="106"/>
      <c r="C113" s="106"/>
      <c r="D113" s="106"/>
      <c r="E113" s="106" t="s">
        <v>41</v>
      </c>
      <c r="F113" s="107" t="s">
        <v>39</v>
      </c>
      <c r="G113" s="99"/>
      <c r="H113" s="388"/>
      <c r="I113" s="99"/>
      <c r="J113" s="77"/>
      <c r="K113" s="77"/>
      <c r="L113" s="77"/>
      <c r="M113" s="77"/>
      <c r="N113" s="77"/>
      <c r="O113" s="77"/>
    </row>
    <row r="114" spans="1:15" ht="15" x14ac:dyDescent="0.25">
      <c r="A114" s="397" t="s">
        <v>126</v>
      </c>
      <c r="B114" s="106"/>
      <c r="C114" s="106"/>
      <c r="D114" s="106"/>
      <c r="E114" s="106" t="s">
        <v>43</v>
      </c>
      <c r="F114" s="107" t="s">
        <v>120</v>
      </c>
      <c r="G114" s="99"/>
      <c r="H114" s="388"/>
      <c r="I114" s="99"/>
      <c r="J114" s="77"/>
      <c r="K114" s="77"/>
      <c r="L114" s="77"/>
      <c r="M114" s="77"/>
      <c r="N114" s="77"/>
      <c r="O114" s="77"/>
    </row>
    <row r="115" spans="1:15" x14ac:dyDescent="0.25">
      <c r="A115" s="2" t="s">
        <v>238</v>
      </c>
      <c r="B115" s="2"/>
      <c r="C115" s="2"/>
      <c r="D115" s="2"/>
      <c r="E115" s="2" t="s">
        <v>118</v>
      </c>
      <c r="F115" s="2" t="s">
        <v>122</v>
      </c>
      <c r="G115" s="2"/>
      <c r="H115" s="3"/>
      <c r="I115" s="2"/>
    </row>
    <row r="116" spans="1:15" x14ac:dyDescent="0.25">
      <c r="A116" s="2" t="s">
        <v>183</v>
      </c>
      <c r="B116" s="2"/>
      <c r="C116" s="2"/>
      <c r="D116" s="2"/>
      <c r="E116" s="2" t="s">
        <v>45</v>
      </c>
      <c r="F116" s="2" t="s">
        <v>32</v>
      </c>
      <c r="G116" s="2"/>
      <c r="H116" s="3"/>
      <c r="I116" s="2"/>
    </row>
    <row r="117" spans="1:15" ht="15" x14ac:dyDescent="0.25">
      <c r="A117" s="2"/>
      <c r="B117" s="2"/>
      <c r="C117" s="2"/>
      <c r="D117" s="2"/>
      <c r="E117" s="106" t="s">
        <v>142</v>
      </c>
      <c r="F117" s="2"/>
      <c r="G117" s="2"/>
      <c r="H117" s="3"/>
      <c r="I117" s="2"/>
    </row>
    <row r="118" spans="1:15" x14ac:dyDescent="0.25">
      <c r="A118" s="2"/>
      <c r="B118" s="2"/>
      <c r="C118" s="2"/>
      <c r="D118" s="2"/>
      <c r="E118" s="2"/>
      <c r="F118" s="2"/>
      <c r="G118" s="2"/>
      <c r="H118" s="3"/>
      <c r="I118" s="2"/>
    </row>
    <row r="119" spans="1:15" x14ac:dyDescent="0.25">
      <c r="A119" s="2"/>
      <c r="B119" s="2"/>
      <c r="C119" s="2"/>
      <c r="D119" s="2"/>
      <c r="E119" s="2"/>
      <c r="F119" s="2"/>
      <c r="G119" s="2"/>
      <c r="H119" s="3"/>
      <c r="I119" s="2"/>
    </row>
    <row r="120" spans="1:15" x14ac:dyDescent="0.25">
      <c r="A120" s="2"/>
      <c r="B120" s="2"/>
      <c r="C120" s="2"/>
      <c r="D120" s="2"/>
      <c r="E120" s="2"/>
      <c r="F120" s="2"/>
      <c r="G120" s="2"/>
      <c r="H120" s="3"/>
      <c r="I120" s="2"/>
    </row>
    <row r="121" spans="1:15" x14ac:dyDescent="0.25">
      <c r="A121" s="2"/>
      <c r="B121" s="2"/>
      <c r="C121" s="2"/>
      <c r="D121" s="2"/>
      <c r="E121" s="2"/>
      <c r="F121" s="2"/>
      <c r="G121" s="2"/>
      <c r="H121" s="3"/>
      <c r="I121" s="2"/>
    </row>
    <row r="122" spans="1:15" x14ac:dyDescent="0.25">
      <c r="A122" s="2"/>
      <c r="B122" s="2"/>
      <c r="C122" s="2"/>
      <c r="D122" s="2"/>
      <c r="E122" s="2"/>
      <c r="F122" s="2"/>
      <c r="G122" s="2"/>
      <c r="H122" s="3"/>
      <c r="I122" s="2"/>
    </row>
    <row r="123" spans="1:15" x14ac:dyDescent="0.25">
      <c r="A123" s="2"/>
      <c r="B123" s="2"/>
      <c r="C123" s="2"/>
      <c r="D123" s="2"/>
      <c r="E123" s="2"/>
      <c r="F123" s="2"/>
      <c r="G123" s="2"/>
      <c r="H123" s="3"/>
      <c r="I123" s="2"/>
    </row>
    <row r="124" spans="1:15" x14ac:dyDescent="0.25">
      <c r="A124" s="2"/>
      <c r="B124" s="2"/>
      <c r="C124" s="2"/>
      <c r="D124" s="2"/>
      <c r="E124" s="2"/>
      <c r="F124" s="2"/>
      <c r="G124" s="2"/>
      <c r="H124" s="3"/>
      <c r="I124" s="2"/>
    </row>
    <row r="125" spans="1:15" x14ac:dyDescent="0.25">
      <c r="A125" s="2"/>
      <c r="B125" s="2"/>
      <c r="C125" s="2"/>
      <c r="D125" s="2"/>
      <c r="E125" s="2"/>
      <c r="F125" s="2"/>
      <c r="G125" s="2"/>
      <c r="H125" s="3"/>
      <c r="I125" s="2"/>
    </row>
    <row r="126" spans="1:15" x14ac:dyDescent="0.25">
      <c r="A126" s="2"/>
      <c r="B126" s="2"/>
      <c r="C126" s="2"/>
      <c r="D126" s="2"/>
      <c r="E126" s="2"/>
      <c r="F126" s="2"/>
      <c r="G126" s="2"/>
      <c r="H126" s="3"/>
      <c r="I126" s="2"/>
    </row>
    <row r="127" spans="1:15" x14ac:dyDescent="0.25">
      <c r="A127" s="2"/>
      <c r="B127" s="2"/>
      <c r="C127" s="2"/>
      <c r="D127" s="2"/>
      <c r="E127" s="2"/>
      <c r="F127" s="2"/>
      <c r="G127" s="2"/>
      <c r="H127" s="3"/>
      <c r="I127" s="2"/>
    </row>
    <row r="128" spans="1:15" x14ac:dyDescent="0.25">
      <c r="A128" s="2"/>
      <c r="B128" s="2"/>
      <c r="C128" s="2"/>
      <c r="D128" s="2"/>
      <c r="E128" s="2"/>
      <c r="F128" s="2"/>
      <c r="G128" s="2"/>
      <c r="H128" s="3"/>
      <c r="I128" s="2"/>
    </row>
    <row r="129" spans="1:9" x14ac:dyDescent="0.25">
      <c r="A129" s="2"/>
      <c r="B129" s="2"/>
      <c r="C129" s="2"/>
      <c r="D129" s="2"/>
      <c r="E129" s="2"/>
      <c r="F129" s="2"/>
      <c r="G129" s="2"/>
      <c r="H129" s="3"/>
      <c r="I129" s="2"/>
    </row>
  </sheetData>
  <mergeCells count="7">
    <mergeCell ref="A101:F102"/>
    <mergeCell ref="A1:O1"/>
    <mergeCell ref="A3:O3"/>
    <mergeCell ref="A11:O11"/>
    <mergeCell ref="A35:O35"/>
    <mergeCell ref="A47:O47"/>
    <mergeCell ref="A48:F48"/>
  </mergeCells>
  <dataValidations count="7">
    <dataValidation type="list" allowBlank="1" showInputMessage="1" showErrorMessage="1" sqref="E40 C39:D46" xr:uid="{00000000-0002-0000-1000-000000000000}">
      <formula1>#REF!</formula1>
    </dataValidation>
    <dataValidation type="list" allowBlank="1" showInputMessage="1" showErrorMessage="1" sqref="C22:D31 C14:D18 C37:D37 C5:D10" xr:uid="{00000000-0002-0000-1000-000001000000}">
      <formula1>$A$110:$A$122</formula1>
    </dataValidation>
    <dataValidation type="list" allowBlank="1" showInputMessage="1" showErrorMessage="1" sqref="E5:E10 E22:E31 E37 E14:E18" xr:uid="{00000000-0002-0000-1000-000002000000}">
      <formula1>$F$110:$F$124</formula1>
    </dataValidation>
    <dataValidation type="list" allowBlank="1" showInputMessage="1" showErrorMessage="1" sqref="B5:B10 B22:B31 B14:B18 B37" xr:uid="{00000000-0002-0000-1000-000003000000}">
      <formula1>$B$110:$B$114</formula1>
    </dataValidation>
    <dataValidation type="list" allowBlank="1" showInputMessage="1" showErrorMessage="1" sqref="A5:A10 A37 A14:A18 A22:A31" xr:uid="{00000000-0002-0000-1000-000004000000}">
      <formula1>$D$110:$D$112</formula1>
    </dataValidation>
    <dataValidation type="list" allowBlank="1" showInputMessage="1" showErrorMessage="1" sqref="G5:G10 G14:G18 G37 G22:G31" xr:uid="{00000000-0002-0000-1000-000005000000}">
      <formula1>$C$110:$C$118</formula1>
    </dataValidation>
    <dataValidation type="list" allowBlank="1" showInputMessage="1" showErrorMessage="1" sqref="F5:F10 F14:F18 F37 F22:F31" xr:uid="{00000000-0002-0000-1000-000006000000}">
      <formula1>$E$110:$E$124</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8">
    <tabColor rgb="FFFF0000"/>
  </sheetPr>
  <dimension ref="A1:EA129"/>
  <sheetViews>
    <sheetView topLeftCell="H1" zoomScale="70" zoomScaleNormal="70" workbookViewId="0">
      <selection activeCell="K6" sqref="K6"/>
    </sheetView>
  </sheetViews>
  <sheetFormatPr defaultColWidth="8.77734375" defaultRowHeight="13.2" x14ac:dyDescent="0.25"/>
  <cols>
    <col min="1" max="15" width="26.44140625" customWidth="1"/>
  </cols>
  <sheetData>
    <row r="1" spans="1:131" ht="18" thickBot="1" x14ac:dyDescent="0.3">
      <c r="A1" s="900" t="s">
        <v>310</v>
      </c>
      <c r="B1" s="900"/>
      <c r="C1" s="900"/>
      <c r="D1" s="900"/>
      <c r="E1" s="900"/>
      <c r="F1" s="900"/>
      <c r="G1" s="900"/>
      <c r="H1" s="900"/>
      <c r="I1" s="900"/>
      <c r="J1" s="900"/>
      <c r="K1" s="900"/>
      <c r="L1" s="900"/>
      <c r="M1" s="900"/>
      <c r="N1" s="900"/>
      <c r="O1" s="900"/>
    </row>
    <row r="2" spans="1:131" ht="17.399999999999999" x14ac:dyDescent="0.25">
      <c r="A2" s="544" t="s">
        <v>188</v>
      </c>
      <c r="B2" s="175"/>
      <c r="C2" s="544"/>
      <c r="D2" s="544"/>
      <c r="E2" s="544"/>
      <c r="F2" s="544"/>
      <c r="G2" s="544"/>
      <c r="H2" s="381"/>
      <c r="I2" s="544"/>
      <c r="J2" s="399"/>
      <c r="K2" s="399"/>
      <c r="L2" s="399"/>
      <c r="M2" s="399"/>
      <c r="N2" s="399"/>
      <c r="O2" s="399"/>
    </row>
    <row r="3" spans="1:131" ht="15" x14ac:dyDescent="0.25">
      <c r="A3" s="901" t="s">
        <v>204</v>
      </c>
      <c r="B3" s="902"/>
      <c r="C3" s="902"/>
      <c r="D3" s="902"/>
      <c r="E3" s="902"/>
      <c r="F3" s="902"/>
      <c r="G3" s="902"/>
      <c r="H3" s="902"/>
      <c r="I3" s="902"/>
      <c r="J3" s="902"/>
      <c r="K3" s="902"/>
      <c r="L3" s="902"/>
      <c r="M3" s="902"/>
      <c r="N3" s="902"/>
      <c r="O3" s="903"/>
    </row>
    <row r="4" spans="1:131" ht="60" x14ac:dyDescent="0.25">
      <c r="A4" s="176" t="s">
        <v>89</v>
      </c>
      <c r="B4" s="176" t="s">
        <v>90</v>
      </c>
      <c r="C4" s="177" t="s">
        <v>0</v>
      </c>
      <c r="D4" s="177" t="s">
        <v>124</v>
      </c>
      <c r="E4" s="176" t="s">
        <v>143</v>
      </c>
      <c r="F4" s="176" t="s">
        <v>144</v>
      </c>
      <c r="G4" s="176" t="s">
        <v>13</v>
      </c>
      <c r="H4" s="382" t="s">
        <v>88</v>
      </c>
      <c r="I4" s="176" t="s">
        <v>12</v>
      </c>
      <c r="J4" s="400" t="s">
        <v>158</v>
      </c>
      <c r="K4" s="400" t="s">
        <v>148</v>
      </c>
      <c r="L4" s="400" t="s">
        <v>180</v>
      </c>
      <c r="M4" s="400" t="s">
        <v>104</v>
      </c>
      <c r="N4" s="400" t="s">
        <v>179</v>
      </c>
      <c r="O4" s="400" t="s">
        <v>205</v>
      </c>
    </row>
    <row r="5" spans="1:131" ht="30" x14ac:dyDescent="0.25">
      <c r="A5" s="482" t="s">
        <v>84</v>
      </c>
      <c r="B5" s="482" t="s">
        <v>3</v>
      </c>
      <c r="C5" s="482" t="s">
        <v>307</v>
      </c>
      <c r="D5" s="482" t="s">
        <v>307</v>
      </c>
      <c r="E5" s="327" t="s">
        <v>120</v>
      </c>
      <c r="F5" s="457" t="s">
        <v>44</v>
      </c>
      <c r="G5" s="482" t="s">
        <v>14</v>
      </c>
      <c r="H5" s="483">
        <v>44423</v>
      </c>
      <c r="I5" s="482" t="s">
        <v>23</v>
      </c>
      <c r="J5" s="350">
        <v>143.66999999999999</v>
      </c>
      <c r="K5" s="350">
        <f>'Aug13'!K5</f>
        <v>110.75</v>
      </c>
      <c r="L5" s="496">
        <f t="shared" ref="L5:L8" si="0">N5-M5</f>
        <v>12.973958619999999</v>
      </c>
      <c r="M5" s="350">
        <f t="shared" ref="M5:N8" si="1">-DZ5/1000000</f>
        <v>0.51272123999999997</v>
      </c>
      <c r="N5" s="350">
        <f t="shared" si="1"/>
        <v>13.486679859999999</v>
      </c>
      <c r="O5" s="88"/>
      <c r="DZ5">
        <v>-512721.24</v>
      </c>
      <c r="EA5">
        <v>-13486679.859999999</v>
      </c>
    </row>
    <row r="6" spans="1:131" ht="30" x14ac:dyDescent="0.25">
      <c r="A6" s="485" t="s">
        <v>84</v>
      </c>
      <c r="B6" s="485" t="s">
        <v>3</v>
      </c>
      <c r="C6" s="485" t="s">
        <v>307</v>
      </c>
      <c r="D6" s="485" t="s">
        <v>307</v>
      </c>
      <c r="E6" s="329" t="s">
        <v>120</v>
      </c>
      <c r="F6" s="458" t="s">
        <v>44</v>
      </c>
      <c r="G6" s="485" t="s">
        <v>14</v>
      </c>
      <c r="H6" s="93">
        <v>44576</v>
      </c>
      <c r="I6" s="485" t="s">
        <v>24</v>
      </c>
      <c r="J6" s="351">
        <v>27.4</v>
      </c>
      <c r="K6" s="351">
        <f>'Aug13'!K6</f>
        <v>25.83</v>
      </c>
      <c r="L6" s="497">
        <f t="shared" si="0"/>
        <v>3.4265312899999998</v>
      </c>
      <c r="M6" s="351">
        <f t="shared" si="1"/>
        <v>7.3959360000000002E-2</v>
      </c>
      <c r="N6" s="351">
        <f t="shared" si="1"/>
        <v>3.5004906499999997</v>
      </c>
      <c r="O6" s="96"/>
      <c r="DZ6">
        <v>-73959.360000000001</v>
      </c>
      <c r="EA6">
        <v>-3500490.65</v>
      </c>
    </row>
    <row r="7" spans="1:131" ht="30" x14ac:dyDescent="0.25">
      <c r="A7" s="482" t="s">
        <v>84</v>
      </c>
      <c r="B7" s="482" t="s">
        <v>3</v>
      </c>
      <c r="C7" s="482" t="s">
        <v>308</v>
      </c>
      <c r="D7" s="482" t="s">
        <v>308</v>
      </c>
      <c r="E7" s="327" t="s">
        <v>39</v>
      </c>
      <c r="F7" s="457" t="s">
        <v>38</v>
      </c>
      <c r="G7" s="482" t="s">
        <v>14</v>
      </c>
      <c r="H7" s="483">
        <v>44576</v>
      </c>
      <c r="I7" s="482" t="s">
        <v>24</v>
      </c>
      <c r="J7" s="350">
        <v>26.85</v>
      </c>
      <c r="K7" s="350">
        <f>'Aug13'!K7</f>
        <v>25.38</v>
      </c>
      <c r="L7" s="496">
        <f t="shared" si="0"/>
        <v>3.35932823</v>
      </c>
      <c r="M7" s="350">
        <f t="shared" si="1"/>
        <v>7.2656559999999995E-2</v>
      </c>
      <c r="N7" s="350">
        <f t="shared" si="1"/>
        <v>3.43198479</v>
      </c>
      <c r="O7" s="88"/>
      <c r="DZ7">
        <v>-72656.56</v>
      </c>
      <c r="EA7">
        <v>-3431984.79</v>
      </c>
    </row>
    <row r="8" spans="1:131" ht="30" x14ac:dyDescent="0.25">
      <c r="A8" s="485" t="s">
        <v>84</v>
      </c>
      <c r="B8" s="485" t="s">
        <v>3</v>
      </c>
      <c r="C8" s="485" t="s">
        <v>309</v>
      </c>
      <c r="D8" s="485" t="s">
        <v>125</v>
      </c>
      <c r="E8" s="329" t="s">
        <v>39</v>
      </c>
      <c r="F8" s="458" t="s">
        <v>42</v>
      </c>
      <c r="G8" s="485" t="s">
        <v>14</v>
      </c>
      <c r="H8" s="93">
        <v>46296</v>
      </c>
      <c r="I8" s="485" t="s">
        <v>25</v>
      </c>
      <c r="J8" s="351">
        <v>40.880000000000003</v>
      </c>
      <c r="K8" s="351">
        <f>'Aug13'!K8</f>
        <v>37.659999999999997</v>
      </c>
      <c r="L8" s="497">
        <f t="shared" si="0"/>
        <v>4.6829160199999995</v>
      </c>
      <c r="M8" s="351">
        <f t="shared" si="1"/>
        <v>7.1431660000000008E-2</v>
      </c>
      <c r="N8" s="351">
        <f t="shared" si="1"/>
        <v>4.7543476799999995</v>
      </c>
      <c r="O8" s="96"/>
      <c r="DZ8">
        <v>-71431.66</v>
      </c>
      <c r="EA8">
        <v>-4754347.68</v>
      </c>
    </row>
    <row r="9" spans="1:131" ht="15" x14ac:dyDescent="0.25">
      <c r="A9" s="111"/>
      <c r="B9" s="111"/>
      <c r="C9" s="111"/>
      <c r="D9" s="111"/>
      <c r="E9" s="123"/>
      <c r="F9" s="111"/>
      <c r="G9" s="111"/>
      <c r="H9" s="114"/>
      <c r="I9" s="111"/>
      <c r="J9" s="352"/>
      <c r="K9" s="352"/>
      <c r="L9" s="352"/>
      <c r="M9" s="352"/>
      <c r="N9" s="353"/>
      <c r="O9" s="353"/>
    </row>
    <row r="10" spans="1:131" ht="15" x14ac:dyDescent="0.25">
      <c r="A10" s="485"/>
      <c r="B10" s="485"/>
      <c r="C10" s="485"/>
      <c r="D10" s="485"/>
      <c r="E10" s="329"/>
      <c r="F10" s="485"/>
      <c r="G10" s="485"/>
      <c r="H10" s="93"/>
      <c r="I10" s="485"/>
      <c r="J10" s="351"/>
      <c r="K10" s="351"/>
      <c r="L10" s="351"/>
      <c r="M10" s="351"/>
      <c r="N10" s="96"/>
      <c r="O10" s="96"/>
    </row>
    <row r="11" spans="1:131" ht="15" x14ac:dyDescent="0.25">
      <c r="A11" s="901" t="s">
        <v>203</v>
      </c>
      <c r="B11" s="902"/>
      <c r="C11" s="902"/>
      <c r="D11" s="902"/>
      <c r="E11" s="902"/>
      <c r="F11" s="902"/>
      <c r="G11" s="902"/>
      <c r="H11" s="902"/>
      <c r="I11" s="902"/>
      <c r="J11" s="902"/>
      <c r="K11" s="902"/>
      <c r="L11" s="902"/>
      <c r="M11" s="902"/>
      <c r="N11" s="902"/>
      <c r="O11" s="903"/>
    </row>
    <row r="12" spans="1:131" ht="60" x14ac:dyDescent="0.25">
      <c r="A12" s="176" t="s">
        <v>89</v>
      </c>
      <c r="B12" s="176" t="s">
        <v>90</v>
      </c>
      <c r="C12" s="177" t="s">
        <v>0</v>
      </c>
      <c r="D12" s="180" t="s">
        <v>124</v>
      </c>
      <c r="E12" s="176" t="s">
        <v>143</v>
      </c>
      <c r="F12" s="176" t="s">
        <v>144</v>
      </c>
      <c r="G12" s="176" t="s">
        <v>13</v>
      </c>
      <c r="H12" s="382" t="s">
        <v>88</v>
      </c>
      <c r="I12" s="176" t="s">
        <v>12</v>
      </c>
      <c r="J12" s="400" t="s">
        <v>150</v>
      </c>
      <c r="K12" s="400" t="s">
        <v>151</v>
      </c>
      <c r="L12" s="400" t="s">
        <v>157</v>
      </c>
      <c r="M12" s="400" t="s">
        <v>149</v>
      </c>
      <c r="N12" s="400" t="s">
        <v>179</v>
      </c>
      <c r="O12" s="400" t="s">
        <v>205</v>
      </c>
    </row>
    <row r="13" spans="1:131" ht="15" x14ac:dyDescent="0.25">
      <c r="A13" s="184" t="s">
        <v>197</v>
      </c>
      <c r="B13" s="184"/>
      <c r="C13" s="185"/>
      <c r="D13" s="185"/>
      <c r="E13" s="184"/>
      <c r="F13" s="184"/>
      <c r="G13" s="184"/>
      <c r="H13" s="383"/>
      <c r="I13" s="184"/>
      <c r="J13" s="403"/>
      <c r="K13" s="403"/>
      <c r="L13" s="403"/>
      <c r="M13" s="403"/>
      <c r="N13" s="403"/>
      <c r="O13" s="404"/>
    </row>
    <row r="14" spans="1:131" ht="30" x14ac:dyDescent="0.25">
      <c r="A14" s="482" t="s">
        <v>8</v>
      </c>
      <c r="B14" s="541" t="s">
        <v>7</v>
      </c>
      <c r="C14" s="482" t="s">
        <v>239</v>
      </c>
      <c r="D14" s="482" t="s">
        <v>238</v>
      </c>
      <c r="E14" s="327" t="s">
        <v>32</v>
      </c>
      <c r="F14" s="327" t="s">
        <v>45</v>
      </c>
      <c r="G14" s="482" t="s">
        <v>22</v>
      </c>
      <c r="H14" s="483">
        <v>41820</v>
      </c>
      <c r="I14" s="482" t="s">
        <v>132</v>
      </c>
      <c r="J14" s="88">
        <v>18.649999999999999</v>
      </c>
      <c r="K14" s="88">
        <v>-3.34</v>
      </c>
      <c r="L14" s="488">
        <v>15.309999999999999</v>
      </c>
      <c r="M14" s="88"/>
      <c r="N14" s="88"/>
      <c r="O14" s="88"/>
    </row>
    <row r="15" spans="1:131" ht="30" x14ac:dyDescent="0.25">
      <c r="A15" s="485" t="s">
        <v>8</v>
      </c>
      <c r="B15" s="485" t="s">
        <v>193</v>
      </c>
      <c r="C15" s="485" t="s">
        <v>239</v>
      </c>
      <c r="D15" s="485" t="s">
        <v>238</v>
      </c>
      <c r="E15" s="485" t="s">
        <v>32</v>
      </c>
      <c r="F15" s="485" t="s">
        <v>45</v>
      </c>
      <c r="G15" s="485" t="s">
        <v>22</v>
      </c>
      <c r="H15" s="385">
        <v>42185</v>
      </c>
      <c r="I15" s="485" t="s">
        <v>133</v>
      </c>
      <c r="J15" s="379">
        <v>13.19</v>
      </c>
      <c r="K15" s="379">
        <v>0</v>
      </c>
      <c r="L15" s="489">
        <v>13.19</v>
      </c>
      <c r="M15" s="379"/>
      <c r="N15" s="379"/>
      <c r="O15" s="379"/>
    </row>
    <row r="16" spans="1:131" ht="30" x14ac:dyDescent="0.25">
      <c r="A16" s="482" t="s">
        <v>8</v>
      </c>
      <c r="B16" s="482" t="s">
        <v>193</v>
      </c>
      <c r="C16" s="482" t="s">
        <v>239</v>
      </c>
      <c r="D16" s="482" t="s">
        <v>238</v>
      </c>
      <c r="E16" s="482" t="s">
        <v>32</v>
      </c>
      <c r="F16" s="482" t="s">
        <v>45</v>
      </c>
      <c r="G16" s="482" t="s">
        <v>22</v>
      </c>
      <c r="H16" s="386">
        <v>42551</v>
      </c>
      <c r="I16" s="482" t="s">
        <v>300</v>
      </c>
      <c r="J16" s="380">
        <v>1.0900000000000001</v>
      </c>
      <c r="K16" s="380">
        <v>0</v>
      </c>
      <c r="L16" s="488">
        <v>1.0900000000000001</v>
      </c>
      <c r="M16" s="380"/>
      <c r="N16" s="380"/>
      <c r="O16" s="380"/>
    </row>
    <row r="17" spans="1:15" ht="30" x14ac:dyDescent="0.25">
      <c r="A17" s="485" t="s">
        <v>8</v>
      </c>
      <c r="B17" s="485" t="s">
        <v>193</v>
      </c>
      <c r="C17" s="485" t="s">
        <v>239</v>
      </c>
      <c r="D17" s="485" t="s">
        <v>238</v>
      </c>
      <c r="E17" s="485" t="s">
        <v>32</v>
      </c>
      <c r="F17" s="485" t="s">
        <v>45</v>
      </c>
      <c r="G17" s="485" t="s">
        <v>22</v>
      </c>
      <c r="H17" s="385">
        <v>42916</v>
      </c>
      <c r="I17" s="485" t="s">
        <v>345</v>
      </c>
      <c r="J17" s="379">
        <v>0</v>
      </c>
      <c r="K17" s="379">
        <v>0</v>
      </c>
      <c r="L17" s="490">
        <v>0</v>
      </c>
      <c r="M17" s="379"/>
      <c r="N17" s="379"/>
      <c r="O17" s="379"/>
    </row>
    <row r="18" spans="1:15" ht="15" x14ac:dyDescent="0.25">
      <c r="A18" s="181"/>
      <c r="B18" s="181"/>
      <c r="C18" s="181"/>
      <c r="D18" s="181"/>
      <c r="E18" s="182"/>
      <c r="F18" s="181"/>
      <c r="G18" s="181"/>
      <c r="H18" s="183" t="s">
        <v>206</v>
      </c>
      <c r="I18" s="181"/>
      <c r="J18" s="354">
        <v>32.93</v>
      </c>
      <c r="K18" s="354">
        <v>-3.34</v>
      </c>
      <c r="L18" s="354">
        <v>29.59</v>
      </c>
      <c r="M18" s="354">
        <v>26.468871</v>
      </c>
      <c r="N18" s="354">
        <v>3.1211289999999998</v>
      </c>
      <c r="O18" s="354">
        <v>35</v>
      </c>
    </row>
    <row r="19" spans="1:15" ht="15" x14ac:dyDescent="0.25">
      <c r="A19" s="181" t="s">
        <v>295</v>
      </c>
      <c r="B19" s="181"/>
      <c r="C19" s="181"/>
      <c r="D19" s="181"/>
      <c r="E19" s="182"/>
      <c r="F19" s="181"/>
      <c r="G19" s="181"/>
      <c r="H19" s="183"/>
      <c r="I19" s="181"/>
      <c r="J19" s="354"/>
      <c r="K19" s="354"/>
      <c r="L19" s="354"/>
      <c r="M19" s="354"/>
      <c r="N19" s="354"/>
      <c r="O19" s="354"/>
    </row>
    <row r="20" spans="1:15" ht="15" x14ac:dyDescent="0.25">
      <c r="A20" s="184" t="s">
        <v>327</v>
      </c>
      <c r="B20" s="184"/>
      <c r="C20" s="185"/>
      <c r="D20" s="185"/>
      <c r="E20" s="184"/>
      <c r="F20" s="184"/>
      <c r="G20" s="184"/>
      <c r="H20" s="383"/>
      <c r="I20" s="184"/>
      <c r="J20" s="459"/>
      <c r="K20" s="459"/>
      <c r="L20" s="459"/>
      <c r="M20" s="459"/>
      <c r="N20" s="459"/>
      <c r="O20" s="186"/>
    </row>
    <row r="21" spans="1:15" ht="30" x14ac:dyDescent="0.25">
      <c r="A21" s="482" t="s">
        <v>8</v>
      </c>
      <c r="B21" s="482" t="s">
        <v>7</v>
      </c>
      <c r="C21" s="482" t="s">
        <v>27</v>
      </c>
      <c r="D21" s="482" t="s">
        <v>127</v>
      </c>
      <c r="E21" s="327" t="s">
        <v>33</v>
      </c>
      <c r="F21" s="327" t="s">
        <v>45</v>
      </c>
      <c r="G21" s="482" t="s">
        <v>22</v>
      </c>
      <c r="H21" s="483">
        <v>41820</v>
      </c>
      <c r="I21" s="482" t="s">
        <v>138</v>
      </c>
      <c r="J21" s="88">
        <v>0.92112859999999996</v>
      </c>
      <c r="K21" s="88">
        <v>-0.92112859999999996</v>
      </c>
      <c r="L21" s="488">
        <v>0</v>
      </c>
      <c r="M21" s="486"/>
      <c r="N21" s="486"/>
      <c r="O21" s="486"/>
    </row>
    <row r="22" spans="1:15" ht="30" x14ac:dyDescent="0.25">
      <c r="A22" s="482" t="s">
        <v>8</v>
      </c>
      <c r="B22" s="485" t="s">
        <v>7</v>
      </c>
      <c r="C22" s="485" t="s">
        <v>27</v>
      </c>
      <c r="D22" s="485" t="s">
        <v>127</v>
      </c>
      <c r="E22" s="485" t="s">
        <v>33</v>
      </c>
      <c r="F22" s="485" t="s">
        <v>45</v>
      </c>
      <c r="G22" s="485" t="s">
        <v>22</v>
      </c>
      <c r="H22" s="385">
        <v>42185</v>
      </c>
      <c r="I22" s="485" t="s">
        <v>139</v>
      </c>
      <c r="J22" s="379"/>
      <c r="K22" s="379"/>
      <c r="L22" s="489">
        <v>0</v>
      </c>
      <c r="M22" s="484"/>
      <c r="N22" s="484"/>
      <c r="O22" s="484"/>
    </row>
    <row r="23" spans="1:15" ht="30" x14ac:dyDescent="0.25">
      <c r="A23" s="482" t="s">
        <v>8</v>
      </c>
      <c r="B23" s="482" t="s">
        <v>7</v>
      </c>
      <c r="C23" s="482" t="s">
        <v>27</v>
      </c>
      <c r="D23" s="482" t="s">
        <v>127</v>
      </c>
      <c r="E23" s="482" t="s">
        <v>33</v>
      </c>
      <c r="F23" s="482" t="s">
        <v>45</v>
      </c>
      <c r="G23" s="482" t="s">
        <v>22</v>
      </c>
      <c r="H23" s="386">
        <v>42551</v>
      </c>
      <c r="I23" s="482" t="s">
        <v>301</v>
      </c>
      <c r="J23" s="380"/>
      <c r="K23" s="380"/>
      <c r="L23" s="488">
        <v>0</v>
      </c>
      <c r="M23" s="487"/>
      <c r="N23" s="487"/>
      <c r="O23" s="487"/>
    </row>
    <row r="24" spans="1:15" ht="30" x14ac:dyDescent="0.25">
      <c r="A24" s="482" t="s">
        <v>8</v>
      </c>
      <c r="B24" s="485" t="s">
        <v>7</v>
      </c>
      <c r="C24" s="485" t="s">
        <v>27</v>
      </c>
      <c r="D24" s="485" t="s">
        <v>127</v>
      </c>
      <c r="E24" s="485" t="s">
        <v>33</v>
      </c>
      <c r="F24" s="485" t="s">
        <v>45</v>
      </c>
      <c r="G24" s="485" t="s">
        <v>22</v>
      </c>
      <c r="H24" s="385">
        <v>42916</v>
      </c>
      <c r="I24" s="485" t="s">
        <v>346</v>
      </c>
      <c r="J24" s="379"/>
      <c r="K24" s="379"/>
      <c r="L24" s="490">
        <v>0</v>
      </c>
      <c r="M24" s="484"/>
      <c r="N24" s="484"/>
      <c r="O24" s="484"/>
    </row>
    <row r="25" spans="1:15" ht="15" x14ac:dyDescent="0.25">
      <c r="A25" s="181" t="s">
        <v>324</v>
      </c>
      <c r="B25" s="181"/>
      <c r="C25" s="181"/>
      <c r="D25" s="181"/>
      <c r="E25" s="182"/>
      <c r="F25" s="181"/>
      <c r="G25" s="181"/>
      <c r="H25" s="183" t="s">
        <v>206</v>
      </c>
      <c r="I25" s="181"/>
      <c r="J25" s="354">
        <v>0.92112859999999996</v>
      </c>
      <c r="K25" s="354">
        <v>-0.92112859999999996</v>
      </c>
      <c r="L25" s="354">
        <v>0</v>
      </c>
      <c r="M25" s="354">
        <v>1.7952399999999875E-4</v>
      </c>
      <c r="N25" s="354">
        <v>-1.7952399999999875E-4</v>
      </c>
      <c r="O25" s="354"/>
    </row>
    <row r="26" spans="1:15" ht="15" x14ac:dyDescent="0.25">
      <c r="A26" s="181"/>
      <c r="B26" s="181"/>
      <c r="C26" s="181"/>
      <c r="D26" s="181"/>
      <c r="E26" s="182"/>
      <c r="F26" s="181"/>
      <c r="G26" s="181"/>
      <c r="H26" s="183"/>
      <c r="I26" s="181"/>
      <c r="J26" s="354"/>
      <c r="K26" s="354"/>
      <c r="L26" s="354"/>
      <c r="M26" s="354"/>
      <c r="N26" s="354"/>
      <c r="O26" s="354"/>
    </row>
    <row r="27" spans="1:15" ht="15" x14ac:dyDescent="0.25">
      <c r="A27" s="184" t="s">
        <v>328</v>
      </c>
      <c r="B27" s="184"/>
      <c r="C27" s="185"/>
      <c r="D27" s="185"/>
      <c r="E27" s="184"/>
      <c r="F27" s="184"/>
      <c r="G27" s="184"/>
      <c r="H27" s="383"/>
      <c r="I27" s="184"/>
      <c r="J27" s="459"/>
      <c r="K27" s="459"/>
      <c r="L27" s="459"/>
      <c r="M27" s="459"/>
      <c r="N27" s="459"/>
      <c r="O27" s="186"/>
    </row>
    <row r="28" spans="1:15" ht="30" x14ac:dyDescent="0.25">
      <c r="A28" s="482" t="s">
        <v>8</v>
      </c>
      <c r="B28" s="482" t="s">
        <v>7</v>
      </c>
      <c r="C28" s="482" t="s">
        <v>92</v>
      </c>
      <c r="D28" s="482" t="s">
        <v>128</v>
      </c>
      <c r="E28" s="327" t="s">
        <v>33</v>
      </c>
      <c r="F28" s="327" t="s">
        <v>45</v>
      </c>
      <c r="G28" s="482" t="s">
        <v>22</v>
      </c>
      <c r="H28" s="483">
        <v>41820</v>
      </c>
      <c r="I28" s="482" t="s">
        <v>138</v>
      </c>
      <c r="J28" s="88">
        <v>2.7230235199999999</v>
      </c>
      <c r="K28" s="88">
        <v>-1.1765584</v>
      </c>
      <c r="L28" s="488">
        <v>1.5464651199999999</v>
      </c>
      <c r="M28" s="379"/>
      <c r="N28" s="379"/>
      <c r="O28" s="379"/>
    </row>
    <row r="29" spans="1:15" ht="30" x14ac:dyDescent="0.25">
      <c r="A29" s="485" t="s">
        <v>8</v>
      </c>
      <c r="B29" s="485" t="s">
        <v>7</v>
      </c>
      <c r="C29" s="485" t="s">
        <v>92</v>
      </c>
      <c r="D29" s="485" t="s">
        <v>128</v>
      </c>
      <c r="E29" s="485" t="s">
        <v>33</v>
      </c>
      <c r="F29" s="485" t="s">
        <v>45</v>
      </c>
      <c r="G29" s="485" t="s">
        <v>22</v>
      </c>
      <c r="H29" s="385">
        <v>42185</v>
      </c>
      <c r="I29" s="485" t="s">
        <v>139</v>
      </c>
      <c r="J29" s="379">
        <v>1.5495680000000001</v>
      </c>
      <c r="K29" s="379">
        <v>0</v>
      </c>
      <c r="L29" s="489">
        <v>1.5495680000000001</v>
      </c>
      <c r="M29" s="380"/>
      <c r="N29" s="380"/>
      <c r="O29" s="380"/>
    </row>
    <row r="30" spans="1:15" ht="30" x14ac:dyDescent="0.25">
      <c r="A30" s="482" t="s">
        <v>8</v>
      </c>
      <c r="B30" s="482" t="s">
        <v>7</v>
      </c>
      <c r="C30" s="482" t="s">
        <v>92</v>
      </c>
      <c r="D30" s="482" t="s">
        <v>128</v>
      </c>
      <c r="E30" s="482" t="s">
        <v>33</v>
      </c>
      <c r="F30" s="482" t="s">
        <v>45</v>
      </c>
      <c r="G30" s="482" t="s">
        <v>22</v>
      </c>
      <c r="H30" s="386">
        <v>42551</v>
      </c>
      <c r="I30" s="482" t="s">
        <v>301</v>
      </c>
      <c r="J30" s="380">
        <v>0.72236800000000001</v>
      </c>
      <c r="K30" s="380">
        <v>0</v>
      </c>
      <c r="L30" s="488">
        <v>0.72236800000000001</v>
      </c>
      <c r="M30" s="379"/>
      <c r="N30" s="379"/>
      <c r="O30" s="379"/>
    </row>
    <row r="31" spans="1:15" ht="30" x14ac:dyDescent="0.25">
      <c r="A31" s="485" t="s">
        <v>8</v>
      </c>
      <c r="B31" s="485" t="s">
        <v>7</v>
      </c>
      <c r="C31" s="485" t="s">
        <v>92</v>
      </c>
      <c r="D31" s="485" t="s">
        <v>128</v>
      </c>
      <c r="E31" s="485" t="s">
        <v>33</v>
      </c>
      <c r="F31" s="485" t="s">
        <v>45</v>
      </c>
      <c r="G31" s="485" t="s">
        <v>22</v>
      </c>
      <c r="H31" s="385">
        <v>42916</v>
      </c>
      <c r="I31" s="485" t="s">
        <v>346</v>
      </c>
      <c r="J31" s="379">
        <v>0</v>
      </c>
      <c r="K31" s="379">
        <v>0</v>
      </c>
      <c r="L31" s="490">
        <v>0</v>
      </c>
      <c r="M31" s="380"/>
      <c r="N31" s="380"/>
      <c r="O31" s="380"/>
    </row>
    <row r="32" spans="1:15" ht="15" x14ac:dyDescent="0.25">
      <c r="A32" s="181" t="s">
        <v>325</v>
      </c>
      <c r="B32" s="181"/>
      <c r="C32" s="181"/>
      <c r="D32" s="181"/>
      <c r="E32" s="182"/>
      <c r="F32" s="181"/>
      <c r="G32" s="181"/>
      <c r="H32" s="183" t="s">
        <v>206</v>
      </c>
      <c r="I32" s="181"/>
      <c r="J32" s="354">
        <v>4.9949595200000001</v>
      </c>
      <c r="K32" s="354">
        <v>-1.1765584</v>
      </c>
      <c r="L32" s="354">
        <v>3.8184011199999999</v>
      </c>
      <c r="M32" s="354">
        <v>4.1177598690000004</v>
      </c>
      <c r="N32" s="354">
        <v>-0.2993587490000002</v>
      </c>
      <c r="O32" s="354"/>
    </row>
    <row r="33" spans="1:15" ht="30" x14ac:dyDescent="0.25">
      <c r="A33" s="181" t="s">
        <v>331</v>
      </c>
      <c r="B33" s="181"/>
      <c r="C33" s="181"/>
      <c r="D33" s="181"/>
      <c r="E33" s="182"/>
      <c r="F33" s="181"/>
      <c r="G33" s="181"/>
      <c r="H33" s="183"/>
      <c r="I33" s="181"/>
      <c r="J33" s="354">
        <f>J32 + J25</f>
        <v>5.9160881200000004</v>
      </c>
      <c r="K33" s="354">
        <f>K32 + K25</f>
        <v>-2.0976870000000001</v>
      </c>
      <c r="L33" s="354">
        <f>L32 + L25</f>
        <v>3.8184011199999999</v>
      </c>
      <c r="M33" s="354">
        <f>M32 + M25</f>
        <v>4.1179393930000003</v>
      </c>
      <c r="N33" s="354">
        <f>IF(AND(N32&gt;0, N25&gt;0),N32 + N25,IF(AND(N32&gt;0, N25&lt;=0),N32,IF(AND(N32&lt;0, N25&gt;=0), N25,0)))</f>
        <v>0</v>
      </c>
      <c r="O33" s="354"/>
    </row>
    <row r="34" spans="1:15" ht="15" x14ac:dyDescent="0.25">
      <c r="A34" s="184" t="s">
        <v>298</v>
      </c>
      <c r="B34" s="184"/>
      <c r="C34" s="185"/>
      <c r="D34" s="185"/>
      <c r="E34" s="184"/>
      <c r="F34" s="184"/>
      <c r="G34" s="184"/>
      <c r="H34" s="383"/>
      <c r="I34" s="184"/>
      <c r="J34" s="403"/>
      <c r="K34" s="403"/>
      <c r="L34" s="403"/>
      <c r="M34" s="403"/>
      <c r="N34" s="403"/>
      <c r="O34" s="404"/>
    </row>
    <row r="35" spans="1:15" ht="15" x14ac:dyDescent="0.25">
      <c r="A35" s="901" t="s">
        <v>325</v>
      </c>
      <c r="B35" s="902"/>
      <c r="C35" s="902"/>
      <c r="D35" s="902"/>
      <c r="E35" s="902"/>
      <c r="F35" s="902"/>
      <c r="G35" s="902"/>
      <c r="H35" s="902"/>
      <c r="I35" s="902"/>
      <c r="J35" s="902"/>
      <c r="K35" s="902"/>
      <c r="L35" s="902"/>
      <c r="M35" s="902"/>
      <c r="N35" s="902"/>
      <c r="O35" s="903"/>
    </row>
    <row r="36" spans="1:15" ht="60" x14ac:dyDescent="0.25">
      <c r="A36" s="176" t="s">
        <v>89</v>
      </c>
      <c r="B36" s="176" t="s">
        <v>90</v>
      </c>
      <c r="C36" s="177" t="s">
        <v>0</v>
      </c>
      <c r="D36" s="177" t="s">
        <v>124</v>
      </c>
      <c r="E36" s="176" t="s">
        <v>143</v>
      </c>
      <c r="F36" s="176" t="s">
        <v>144</v>
      </c>
      <c r="G36" s="176" t="s">
        <v>13</v>
      </c>
      <c r="H36" s="382" t="s">
        <v>88</v>
      </c>
      <c r="I36" s="176" t="s">
        <v>12</v>
      </c>
      <c r="J36" s="400" t="s">
        <v>200</v>
      </c>
      <c r="K36" s="400" t="s">
        <v>199</v>
      </c>
      <c r="L36" s="400" t="s">
        <v>201</v>
      </c>
      <c r="M36" s="400" t="s">
        <v>149</v>
      </c>
      <c r="N36" s="400" t="s">
        <v>179</v>
      </c>
      <c r="O36" s="400" t="s">
        <v>304</v>
      </c>
    </row>
    <row r="37" spans="1:15" ht="30" x14ac:dyDescent="0.25">
      <c r="A37" s="485" t="s">
        <v>84</v>
      </c>
      <c r="B37" s="485" t="s">
        <v>9</v>
      </c>
      <c r="C37" s="485" t="s">
        <v>183</v>
      </c>
      <c r="D37" s="485" t="s">
        <v>142</v>
      </c>
      <c r="E37" s="329" t="s">
        <v>142</v>
      </c>
      <c r="F37" s="485" t="s">
        <v>142</v>
      </c>
      <c r="G37" s="485" t="s">
        <v>22</v>
      </c>
      <c r="H37" s="93">
        <v>41449</v>
      </c>
      <c r="I37" s="485" t="s">
        <v>172</v>
      </c>
      <c r="J37" s="96">
        <v>7.0349999999999996E-2</v>
      </c>
      <c r="K37" s="96" t="s">
        <v>299</v>
      </c>
      <c r="L37" s="292">
        <v>7.0349999999999996E-2</v>
      </c>
      <c r="M37" s="292">
        <f>+O37*50000/1000000</f>
        <v>6.6104999999999997E-2</v>
      </c>
      <c r="N37" s="292">
        <f>M37-L37</f>
        <v>-4.2449999999999988E-3</v>
      </c>
      <c r="O37" s="486">
        <v>1.3221000000000001</v>
      </c>
    </row>
    <row r="38" spans="1:15" ht="30" x14ac:dyDescent="0.25">
      <c r="A38" s="111" t="s">
        <v>297</v>
      </c>
      <c r="B38" s="99"/>
      <c r="C38" s="2"/>
      <c r="D38" s="2"/>
      <c r="E38" s="2"/>
      <c r="F38" s="2"/>
      <c r="G38" s="2"/>
      <c r="H38" s="3"/>
      <c r="I38" s="2"/>
      <c r="J38" s="293"/>
      <c r="K38" s="293"/>
      <c r="L38" s="491">
        <f>L37</f>
        <v>7.0349999999999996E-2</v>
      </c>
      <c r="M38" s="144"/>
      <c r="N38" s="491">
        <f>IF(N37&gt;0,N37,0)</f>
        <v>0</v>
      </c>
      <c r="O38" s="144"/>
    </row>
    <row r="39" spans="1:15" ht="15" x14ac:dyDescent="0.25">
      <c r="A39" s="99"/>
      <c r="B39" s="99"/>
      <c r="C39" s="99"/>
      <c r="D39" s="99"/>
      <c r="E39" s="99"/>
      <c r="F39" s="99"/>
      <c r="G39" s="99"/>
      <c r="H39" s="388"/>
      <c r="I39" s="99"/>
      <c r="J39" s="144"/>
      <c r="K39" s="144"/>
      <c r="L39" s="144"/>
      <c r="M39" s="144"/>
      <c r="N39" s="144"/>
      <c r="O39" s="144"/>
    </row>
    <row r="40" spans="1:15" ht="15" x14ac:dyDescent="0.25">
      <c r="A40" s="99"/>
      <c r="B40" s="99"/>
      <c r="C40" s="99"/>
      <c r="D40" s="99"/>
      <c r="E40" s="99"/>
      <c r="F40" s="99"/>
      <c r="G40" s="99"/>
      <c r="H40" s="388"/>
      <c r="I40" s="99"/>
      <c r="J40" s="77"/>
      <c r="K40" s="144"/>
      <c r="L40" s="144"/>
      <c r="M40" s="77"/>
      <c r="N40" s="77"/>
      <c r="O40" s="77"/>
    </row>
    <row r="41" spans="1:15" ht="15" x14ac:dyDescent="0.25">
      <c r="A41" s="99"/>
      <c r="B41" s="99"/>
      <c r="C41" s="99"/>
      <c r="D41" s="99"/>
      <c r="E41" s="99"/>
      <c r="F41" s="99"/>
      <c r="G41" s="99"/>
      <c r="H41" s="388"/>
      <c r="I41" s="99"/>
      <c r="J41" s="77"/>
      <c r="K41" s="77"/>
      <c r="L41" s="77"/>
      <c r="M41" s="77"/>
      <c r="N41" s="77"/>
      <c r="O41" s="77"/>
    </row>
    <row r="42" spans="1:15" ht="15" x14ac:dyDescent="0.25">
      <c r="A42" s="99"/>
      <c r="B42" s="99"/>
      <c r="C42" s="99"/>
      <c r="D42" s="99"/>
      <c r="E42" s="99"/>
      <c r="F42" s="99"/>
      <c r="G42" s="99"/>
      <c r="H42" s="388"/>
      <c r="I42" s="99"/>
      <c r="J42" s="77"/>
      <c r="K42" s="77"/>
      <c r="L42" s="77"/>
      <c r="M42" s="77"/>
      <c r="N42" s="77"/>
      <c r="O42" s="77"/>
    </row>
    <row r="43" spans="1:15" ht="15" x14ac:dyDescent="0.25">
      <c r="A43" s="99"/>
      <c r="B43" s="99"/>
      <c r="C43" s="99"/>
      <c r="D43" s="99"/>
      <c r="E43" s="99"/>
      <c r="F43" s="99"/>
      <c r="G43" s="99"/>
      <c r="H43" s="388"/>
      <c r="I43" s="99"/>
      <c r="J43" s="77"/>
      <c r="K43" s="77"/>
      <c r="L43" s="77"/>
      <c r="M43" s="77"/>
      <c r="N43" s="77"/>
      <c r="O43" s="77"/>
    </row>
    <row r="44" spans="1:15" ht="15" x14ac:dyDescent="0.25">
      <c r="A44" s="99"/>
      <c r="B44" s="99"/>
      <c r="C44" s="99"/>
      <c r="D44" s="99"/>
      <c r="E44" s="99"/>
      <c r="F44" s="99"/>
      <c r="G44" s="99"/>
      <c r="H44" s="388"/>
      <c r="I44" s="99"/>
      <c r="J44" s="77"/>
      <c r="K44" s="77"/>
      <c r="L44" s="77"/>
      <c r="M44" s="77"/>
      <c r="N44" s="77"/>
      <c r="O44" s="77"/>
    </row>
    <row r="45" spans="1:15" ht="15" x14ac:dyDescent="0.25">
      <c r="A45" s="99"/>
      <c r="B45" s="99"/>
      <c r="C45" s="99"/>
      <c r="D45" s="99"/>
      <c r="E45" s="99"/>
      <c r="F45" s="99"/>
      <c r="G45" s="99"/>
      <c r="H45" s="388"/>
      <c r="I45" s="99"/>
      <c r="J45" s="77"/>
      <c r="K45" s="77"/>
      <c r="L45" s="77"/>
      <c r="M45" s="77"/>
      <c r="N45" s="77"/>
      <c r="O45" s="77"/>
    </row>
    <row r="46" spans="1:15" ht="15" x14ac:dyDescent="0.25">
      <c r="A46" s="99"/>
      <c r="B46" s="99"/>
      <c r="C46" s="99"/>
      <c r="D46" s="99"/>
      <c r="E46" s="99"/>
      <c r="F46" s="99"/>
      <c r="G46" s="99"/>
      <c r="H46" s="388"/>
      <c r="I46" s="99"/>
      <c r="J46" s="77"/>
      <c r="K46" s="77"/>
      <c r="L46" s="77"/>
      <c r="M46" s="77"/>
      <c r="N46" s="77"/>
      <c r="O46" s="77"/>
    </row>
    <row r="47" spans="1:15" ht="15.6" thickBot="1" x14ac:dyDescent="0.3">
      <c r="A47" s="904"/>
      <c r="B47" s="904"/>
      <c r="C47" s="904"/>
      <c r="D47" s="904"/>
      <c r="E47" s="904"/>
      <c r="F47" s="904"/>
      <c r="G47" s="904"/>
      <c r="H47" s="904"/>
      <c r="I47" s="904"/>
      <c r="J47" s="904"/>
      <c r="K47" s="904"/>
      <c r="L47" s="904"/>
      <c r="M47" s="904"/>
      <c r="N47" s="904"/>
      <c r="O47" s="904"/>
    </row>
    <row r="48" spans="1:15" ht="15.6" x14ac:dyDescent="0.3">
      <c r="A48" s="905"/>
      <c r="B48" s="905"/>
      <c r="C48" s="905"/>
      <c r="D48" s="905"/>
      <c r="E48" s="905"/>
      <c r="F48" s="905"/>
      <c r="G48" s="99"/>
      <c r="H48" s="388"/>
      <c r="I48" s="99"/>
      <c r="J48" s="77"/>
      <c r="K48" s="77"/>
      <c r="L48" s="77"/>
      <c r="M48" s="77"/>
      <c r="N48" s="77"/>
      <c r="O48" s="77"/>
    </row>
    <row r="49" spans="1:15" ht="15.6" x14ac:dyDescent="0.3">
      <c r="A49" s="202"/>
      <c r="B49" s="203"/>
      <c r="C49" s="203"/>
      <c r="D49" s="202"/>
      <c r="E49" s="202"/>
      <c r="F49" s="202"/>
      <c r="G49" s="99"/>
      <c r="H49" s="384"/>
      <c r="I49" s="99"/>
      <c r="J49" s="77"/>
      <c r="K49" s="77"/>
      <c r="L49" s="77"/>
      <c r="M49" s="77"/>
      <c r="N49" s="77"/>
      <c r="O49" s="77"/>
    </row>
    <row r="50" spans="1:15" ht="15" x14ac:dyDescent="0.25">
      <c r="A50" s="391"/>
      <c r="B50" s="391"/>
      <c r="C50" s="391"/>
      <c r="D50" s="391"/>
      <c r="E50" s="391"/>
      <c r="F50" s="391"/>
      <c r="G50" s="99"/>
      <c r="H50" s="388"/>
      <c r="I50" s="99"/>
      <c r="J50" s="77"/>
      <c r="K50" s="77"/>
      <c r="L50" s="77"/>
      <c r="M50" s="77"/>
      <c r="N50" s="77"/>
      <c r="O50" s="77"/>
    </row>
    <row r="51" spans="1:15" ht="15" x14ac:dyDescent="0.25">
      <c r="A51" s="395"/>
      <c r="B51" s="392"/>
      <c r="C51" s="392"/>
      <c r="D51" s="392"/>
      <c r="E51" s="392"/>
      <c r="F51" s="205"/>
      <c r="G51" s="99"/>
      <c r="H51" s="388"/>
      <c r="I51" s="99"/>
      <c r="J51" s="77"/>
      <c r="K51" s="77"/>
      <c r="L51" s="77"/>
      <c r="M51" s="77"/>
      <c r="N51" s="77"/>
      <c r="O51" s="77"/>
    </row>
    <row r="52" spans="1:15" ht="15" x14ac:dyDescent="0.25">
      <c r="A52" s="395"/>
      <c r="B52" s="392"/>
      <c r="C52" s="392"/>
      <c r="D52" s="392"/>
      <c r="E52" s="392"/>
      <c r="F52" s="205"/>
      <c r="G52" s="99"/>
      <c r="H52" s="388"/>
      <c r="I52" s="99"/>
      <c r="J52" s="77"/>
      <c r="K52" s="77"/>
      <c r="L52" s="77"/>
      <c r="M52" s="77"/>
      <c r="N52" s="77"/>
      <c r="O52" s="77"/>
    </row>
    <row r="53" spans="1:15" ht="15" x14ac:dyDescent="0.25">
      <c r="A53" s="391"/>
      <c r="B53" s="392"/>
      <c r="C53" s="392"/>
      <c r="D53" s="392"/>
      <c r="E53" s="392"/>
      <c r="F53" s="205"/>
      <c r="G53" s="99"/>
      <c r="H53" s="388"/>
      <c r="I53" s="99"/>
      <c r="J53" s="77"/>
      <c r="K53" s="77"/>
      <c r="L53" s="77"/>
      <c r="M53" s="77"/>
      <c r="N53" s="77"/>
      <c r="O53" s="77"/>
    </row>
    <row r="54" spans="1:15" ht="15" x14ac:dyDescent="0.25">
      <c r="A54" s="395"/>
      <c r="B54" s="392"/>
      <c r="C54" s="392"/>
      <c r="D54" s="392"/>
      <c r="E54" s="392"/>
      <c r="F54" s="205"/>
      <c r="G54" s="99"/>
      <c r="H54" s="388"/>
      <c r="I54" s="99"/>
      <c r="J54" s="77"/>
      <c r="K54" s="77"/>
      <c r="L54" s="77"/>
      <c r="M54" s="77"/>
      <c r="N54" s="77"/>
      <c r="O54" s="77"/>
    </row>
    <row r="55" spans="1:15" ht="15" x14ac:dyDescent="0.25">
      <c r="A55" s="391"/>
      <c r="B55" s="392"/>
      <c r="C55" s="392"/>
      <c r="D55" s="392"/>
      <c r="E55" s="392"/>
      <c r="F55" s="205"/>
      <c r="G55" s="99"/>
      <c r="H55" s="388"/>
      <c r="I55" s="99"/>
      <c r="J55" s="77"/>
      <c r="K55" s="77"/>
      <c r="L55" s="77"/>
      <c r="M55" s="77"/>
      <c r="N55" s="77"/>
      <c r="O55" s="77"/>
    </row>
    <row r="56" spans="1:15" ht="15" x14ac:dyDescent="0.25">
      <c r="A56" s="391"/>
      <c r="B56" s="392"/>
      <c r="C56" s="392"/>
      <c r="D56" s="392"/>
      <c r="E56" s="392"/>
      <c r="F56" s="205"/>
      <c r="G56" s="99"/>
      <c r="H56" s="388"/>
      <c r="I56" s="99"/>
      <c r="J56" s="77"/>
      <c r="K56" s="77"/>
      <c r="L56" s="77"/>
      <c r="M56" s="77"/>
      <c r="N56" s="77"/>
      <c r="O56" s="77"/>
    </row>
    <row r="57" spans="1:15" ht="16.8" x14ac:dyDescent="0.4">
      <c r="A57" s="391"/>
      <c r="B57" s="393"/>
      <c r="C57" s="393"/>
      <c r="D57" s="393"/>
      <c r="E57" s="393"/>
      <c r="F57" s="207"/>
      <c r="G57" s="99"/>
      <c r="H57" s="389"/>
      <c r="I57" s="99"/>
      <c r="J57" s="77"/>
      <c r="K57" s="77"/>
      <c r="L57" s="77"/>
      <c r="M57" s="77"/>
      <c r="N57" s="77"/>
      <c r="O57" s="77"/>
    </row>
    <row r="58" spans="1:15" ht="16.8" x14ac:dyDescent="0.4">
      <c r="A58" s="391"/>
      <c r="B58" s="394"/>
      <c r="C58" s="394"/>
      <c r="D58" s="394"/>
      <c r="E58" s="394"/>
      <c r="F58" s="210"/>
      <c r="G58" s="99"/>
      <c r="H58" s="390"/>
      <c r="I58" s="99"/>
      <c r="J58" s="77"/>
      <c r="K58" s="77"/>
      <c r="L58" s="77"/>
      <c r="M58" s="77"/>
      <c r="N58" s="77"/>
      <c r="O58" s="77"/>
    </row>
    <row r="59" spans="1:15" ht="15" x14ac:dyDescent="0.25">
      <c r="A59" s="391"/>
      <c r="B59" s="391"/>
      <c r="C59" s="391"/>
      <c r="D59" s="391"/>
      <c r="E59" s="391"/>
      <c r="F59" s="391"/>
      <c r="G59" s="99"/>
      <c r="H59" s="388"/>
      <c r="I59" s="99"/>
      <c r="J59" s="77"/>
      <c r="K59" s="77"/>
      <c r="L59" s="77"/>
      <c r="M59" s="77"/>
      <c r="N59" s="77"/>
      <c r="O59" s="77"/>
    </row>
    <row r="60" spans="1:15" ht="15" x14ac:dyDescent="0.25">
      <c r="A60" s="99"/>
      <c r="B60" s="99"/>
      <c r="C60" s="99"/>
      <c r="D60" s="99"/>
      <c r="E60" s="99"/>
      <c r="F60" s="99"/>
      <c r="G60" s="99"/>
      <c r="H60" s="388"/>
      <c r="I60" s="99"/>
      <c r="J60" s="77"/>
      <c r="K60" s="77"/>
      <c r="L60" s="77"/>
      <c r="M60" s="77"/>
      <c r="N60" s="77"/>
      <c r="O60" s="77"/>
    </row>
    <row r="61" spans="1:15" ht="15" x14ac:dyDescent="0.25">
      <c r="A61" s="99"/>
      <c r="B61" s="99"/>
      <c r="C61" s="99"/>
      <c r="D61" s="99"/>
      <c r="E61" s="99"/>
      <c r="F61" s="99"/>
      <c r="G61" s="99"/>
      <c r="H61" s="388"/>
      <c r="I61" s="99"/>
      <c r="J61" s="77"/>
      <c r="K61" s="77"/>
      <c r="L61" s="77"/>
      <c r="M61" s="77"/>
      <c r="N61" s="77"/>
      <c r="O61" s="77"/>
    </row>
    <row r="62" spans="1:15" ht="15" x14ac:dyDescent="0.25">
      <c r="A62" s="99"/>
      <c r="B62" s="99"/>
      <c r="C62" s="99"/>
      <c r="D62" s="99"/>
      <c r="E62" s="99"/>
      <c r="F62" s="99"/>
      <c r="G62" s="99"/>
      <c r="H62" s="388"/>
      <c r="I62" s="99"/>
      <c r="J62" s="77"/>
      <c r="K62" s="77"/>
      <c r="L62" s="77"/>
      <c r="M62" s="77"/>
      <c r="N62" s="77"/>
      <c r="O62" s="77"/>
    </row>
    <row r="63" spans="1:15" ht="15" x14ac:dyDescent="0.25">
      <c r="A63" s="99"/>
      <c r="B63" s="99"/>
      <c r="C63" s="99"/>
      <c r="D63" s="99"/>
      <c r="E63" s="99"/>
      <c r="F63" s="99"/>
      <c r="G63" s="99"/>
      <c r="H63" s="388"/>
      <c r="I63" s="99"/>
      <c r="J63" s="77"/>
      <c r="K63" s="77"/>
      <c r="L63" s="77"/>
      <c r="M63" s="77"/>
      <c r="N63" s="77"/>
      <c r="O63" s="77"/>
    </row>
    <row r="64" spans="1:15" ht="15" x14ac:dyDescent="0.25">
      <c r="A64" s="99"/>
      <c r="B64" s="99"/>
      <c r="C64" s="99"/>
      <c r="D64" s="99"/>
      <c r="E64" s="99"/>
      <c r="F64" s="99"/>
      <c r="G64" s="99"/>
      <c r="H64" s="388"/>
      <c r="I64" s="99"/>
      <c r="J64" s="77"/>
      <c r="K64" s="77"/>
      <c r="L64" s="77"/>
      <c r="M64" s="77"/>
      <c r="N64" s="77"/>
      <c r="O64" s="77"/>
    </row>
    <row r="65" spans="1:15" ht="15" x14ac:dyDescent="0.25">
      <c r="A65" s="99"/>
      <c r="B65" s="99"/>
      <c r="C65" s="99"/>
      <c r="D65" s="99"/>
      <c r="E65" s="99"/>
      <c r="F65" s="99"/>
      <c r="G65" s="99"/>
      <c r="H65" s="388"/>
      <c r="I65" s="99"/>
      <c r="J65" s="77"/>
      <c r="K65" s="77"/>
      <c r="L65" s="77"/>
      <c r="M65" s="77"/>
      <c r="N65" s="77"/>
      <c r="O65" s="77"/>
    </row>
    <row r="66" spans="1:15" ht="15" x14ac:dyDescent="0.25">
      <c r="A66" s="99"/>
      <c r="B66" s="99"/>
      <c r="C66" s="99"/>
      <c r="D66" s="99"/>
      <c r="E66" s="99"/>
      <c r="F66" s="99"/>
      <c r="G66" s="99"/>
      <c r="H66" s="388"/>
      <c r="I66" s="99"/>
      <c r="J66" s="77"/>
      <c r="K66" s="77"/>
      <c r="L66" s="77"/>
      <c r="M66" s="77"/>
      <c r="N66" s="77"/>
      <c r="O66" s="77"/>
    </row>
    <row r="67" spans="1:15" ht="15" x14ac:dyDescent="0.25">
      <c r="A67" s="99"/>
      <c r="B67" s="99"/>
      <c r="C67" s="99"/>
      <c r="D67" s="99"/>
      <c r="E67" s="99"/>
      <c r="F67" s="99"/>
      <c r="G67" s="99"/>
      <c r="H67" s="388"/>
      <c r="I67" s="99"/>
      <c r="J67" s="77"/>
      <c r="K67" s="77"/>
      <c r="L67" s="77"/>
      <c r="M67" s="77"/>
      <c r="N67" s="77"/>
      <c r="O67" s="77"/>
    </row>
    <row r="68" spans="1:15" ht="15" x14ac:dyDescent="0.25">
      <c r="A68" s="99"/>
      <c r="B68" s="99"/>
      <c r="C68" s="99"/>
      <c r="D68" s="99"/>
      <c r="E68" s="99"/>
      <c r="F68" s="99"/>
      <c r="G68" s="99"/>
      <c r="H68" s="388"/>
      <c r="I68" s="99"/>
      <c r="J68" s="77"/>
      <c r="K68" s="77"/>
      <c r="L68" s="77"/>
      <c r="M68" s="77"/>
      <c r="N68" s="77"/>
      <c r="O68" s="77"/>
    </row>
    <row r="69" spans="1:15" ht="15" x14ac:dyDescent="0.25">
      <c r="A69" s="99"/>
      <c r="B69" s="99"/>
      <c r="C69" s="99"/>
      <c r="D69" s="99"/>
      <c r="E69" s="99"/>
      <c r="F69" s="99"/>
      <c r="G69" s="99"/>
      <c r="H69" s="388"/>
      <c r="I69" s="99"/>
      <c r="J69" s="77"/>
      <c r="K69" s="77"/>
      <c r="L69" s="77"/>
      <c r="M69" s="77"/>
      <c r="N69" s="77"/>
      <c r="O69" s="77"/>
    </row>
    <row r="70" spans="1:15" ht="15" x14ac:dyDescent="0.25">
      <c r="A70" s="99"/>
      <c r="B70" s="99"/>
      <c r="C70" s="99"/>
      <c r="D70" s="99"/>
      <c r="E70" s="99"/>
      <c r="F70" s="99"/>
      <c r="G70" s="99"/>
      <c r="H70" s="388"/>
      <c r="I70" s="99"/>
      <c r="J70" s="77"/>
      <c r="K70" s="77"/>
      <c r="L70" s="77"/>
      <c r="M70" s="77"/>
      <c r="N70" s="77"/>
      <c r="O70" s="77"/>
    </row>
    <row r="71" spans="1:15" ht="15" x14ac:dyDescent="0.25">
      <c r="A71" s="99"/>
      <c r="B71" s="99"/>
      <c r="C71" s="99"/>
      <c r="D71" s="99"/>
      <c r="E71" s="99"/>
      <c r="F71" s="99"/>
      <c r="G71" s="99"/>
      <c r="H71" s="388"/>
      <c r="I71" s="99"/>
      <c r="J71" s="77"/>
      <c r="K71" s="77"/>
      <c r="L71" s="77"/>
      <c r="M71" s="77"/>
      <c r="N71" s="77"/>
      <c r="O71" s="77"/>
    </row>
    <row r="72" spans="1:15" ht="15" x14ac:dyDescent="0.25">
      <c r="A72" s="99"/>
      <c r="B72" s="99"/>
      <c r="C72" s="99"/>
      <c r="D72" s="99"/>
      <c r="E72" s="99"/>
      <c r="F72" s="99"/>
      <c r="G72" s="99"/>
      <c r="H72" s="388"/>
      <c r="I72" s="99"/>
      <c r="J72" s="77"/>
      <c r="K72" s="77"/>
      <c r="L72" s="77"/>
      <c r="M72" s="77"/>
      <c r="N72" s="77"/>
      <c r="O72" s="77"/>
    </row>
    <row r="73" spans="1:15" ht="15" x14ac:dyDescent="0.25">
      <c r="A73" s="99"/>
      <c r="B73" s="99"/>
      <c r="C73" s="99"/>
      <c r="D73" s="99"/>
      <c r="E73" s="99"/>
      <c r="F73" s="99"/>
      <c r="G73" s="99"/>
      <c r="H73" s="388"/>
      <c r="I73" s="99"/>
      <c r="J73" s="77"/>
      <c r="K73" s="77"/>
      <c r="L73" s="77"/>
      <c r="M73" s="77"/>
      <c r="N73" s="77"/>
      <c r="O73" s="77"/>
    </row>
    <row r="74" spans="1:15" ht="15" x14ac:dyDescent="0.25">
      <c r="A74" s="99"/>
      <c r="B74" s="99"/>
      <c r="C74" s="99"/>
      <c r="D74" s="99"/>
      <c r="E74" s="99"/>
      <c r="F74" s="99"/>
      <c r="G74" s="99"/>
      <c r="H74" s="388"/>
      <c r="I74" s="99"/>
      <c r="J74" s="77"/>
      <c r="K74" s="77"/>
      <c r="L74" s="77"/>
      <c r="M74" s="77"/>
      <c r="N74" s="77"/>
      <c r="O74" s="77"/>
    </row>
    <row r="75" spans="1:15" ht="15" x14ac:dyDescent="0.25">
      <c r="A75" s="99"/>
      <c r="B75" s="99"/>
      <c r="C75" s="99"/>
      <c r="D75" s="99"/>
      <c r="E75" s="99"/>
      <c r="F75" s="99"/>
      <c r="G75" s="99"/>
      <c r="H75" s="388"/>
      <c r="I75" s="99"/>
      <c r="J75" s="77"/>
      <c r="K75" s="77"/>
      <c r="L75" s="77"/>
      <c r="M75" s="77"/>
      <c r="N75" s="77"/>
      <c r="O75" s="77"/>
    </row>
    <row r="76" spans="1:15" ht="15" x14ac:dyDescent="0.25">
      <c r="A76" s="99"/>
      <c r="B76" s="99"/>
      <c r="C76" s="99"/>
      <c r="D76" s="99"/>
      <c r="E76" s="99"/>
      <c r="F76" s="99"/>
      <c r="G76" s="99"/>
      <c r="H76" s="388"/>
      <c r="I76" s="99"/>
      <c r="J76" s="77"/>
      <c r="K76" s="77"/>
      <c r="L76" s="77"/>
      <c r="M76" s="77"/>
      <c r="N76" s="77"/>
      <c r="O76" s="77"/>
    </row>
    <row r="77" spans="1:15" ht="15" x14ac:dyDescent="0.25">
      <c r="A77" s="99"/>
      <c r="B77" s="99"/>
      <c r="C77" s="99"/>
      <c r="D77" s="99"/>
      <c r="E77" s="99"/>
      <c r="F77" s="99"/>
      <c r="G77" s="99"/>
      <c r="H77" s="388"/>
      <c r="I77" s="99"/>
      <c r="J77" s="77"/>
      <c r="K77" s="77"/>
      <c r="L77" s="77"/>
      <c r="M77" s="77"/>
      <c r="N77" s="77"/>
      <c r="O77" s="77"/>
    </row>
    <row r="78" spans="1:15" ht="15" x14ac:dyDescent="0.25">
      <c r="A78" s="99"/>
      <c r="B78" s="99"/>
      <c r="C78" s="99"/>
      <c r="D78" s="99"/>
      <c r="E78" s="99"/>
      <c r="F78" s="99"/>
      <c r="G78" s="99"/>
      <c r="H78" s="388"/>
      <c r="I78" s="99"/>
      <c r="J78" s="77"/>
      <c r="K78" s="77"/>
      <c r="L78" s="77"/>
      <c r="M78" s="77"/>
      <c r="N78" s="77"/>
      <c r="O78" s="77"/>
    </row>
    <row r="79" spans="1:15" ht="15" x14ac:dyDescent="0.25">
      <c r="A79" s="99"/>
      <c r="B79" s="99"/>
      <c r="C79" s="99"/>
      <c r="D79" s="99"/>
      <c r="E79" s="99"/>
      <c r="F79" s="99"/>
      <c r="G79" s="99"/>
      <c r="H79" s="388"/>
      <c r="I79" s="99"/>
      <c r="J79" s="77"/>
      <c r="K79" s="77"/>
      <c r="L79" s="77"/>
      <c r="M79" s="77"/>
      <c r="N79" s="77"/>
      <c r="O79" s="77"/>
    </row>
    <row r="80" spans="1:15" ht="15" x14ac:dyDescent="0.25">
      <c r="A80" s="99"/>
      <c r="B80" s="99"/>
      <c r="C80" s="99"/>
      <c r="D80" s="99"/>
      <c r="E80" s="99"/>
      <c r="F80" s="99"/>
      <c r="G80" s="99"/>
      <c r="H80" s="388"/>
      <c r="I80" s="99"/>
      <c r="J80" s="77"/>
      <c r="K80" s="77"/>
      <c r="L80" s="77"/>
      <c r="M80" s="77"/>
      <c r="N80" s="77"/>
      <c r="O80" s="77"/>
    </row>
    <row r="81" spans="1:15" ht="15" x14ac:dyDescent="0.25">
      <c r="A81" s="99"/>
      <c r="B81" s="99"/>
      <c r="C81" s="99"/>
      <c r="D81" s="99"/>
      <c r="E81" s="99"/>
      <c r="F81" s="99"/>
      <c r="G81" s="99"/>
      <c r="H81" s="388"/>
      <c r="I81" s="99"/>
      <c r="J81" s="77"/>
      <c r="K81" s="77"/>
      <c r="L81" s="77"/>
      <c r="M81" s="77"/>
      <c r="N81" s="77"/>
      <c r="O81" s="77"/>
    </row>
    <row r="82" spans="1:15" ht="15" x14ac:dyDescent="0.25">
      <c r="A82" s="99"/>
      <c r="B82" s="99"/>
      <c r="C82" s="99"/>
      <c r="D82" s="99"/>
      <c r="E82" s="99"/>
      <c r="F82" s="99"/>
      <c r="G82" s="99"/>
      <c r="H82" s="388"/>
      <c r="I82" s="99"/>
      <c r="J82" s="77"/>
      <c r="K82" s="77"/>
      <c r="L82" s="77"/>
      <c r="M82" s="77"/>
      <c r="N82" s="77"/>
      <c r="O82" s="77"/>
    </row>
    <row r="83" spans="1:15" ht="15" x14ac:dyDescent="0.25">
      <c r="A83" s="99"/>
      <c r="B83" s="99"/>
      <c r="C83" s="99"/>
      <c r="D83" s="99"/>
      <c r="E83" s="99"/>
      <c r="F83" s="99"/>
      <c r="G83" s="99"/>
      <c r="H83" s="388"/>
      <c r="I83" s="99"/>
      <c r="J83" s="77"/>
      <c r="K83" s="77"/>
      <c r="L83" s="77"/>
      <c r="M83" s="77"/>
      <c r="N83" s="77"/>
      <c r="O83" s="77"/>
    </row>
    <row r="84" spans="1:15" ht="15" x14ac:dyDescent="0.25">
      <c r="A84" s="99"/>
      <c r="B84" s="99"/>
      <c r="C84" s="99"/>
      <c r="D84" s="99"/>
      <c r="E84" s="99"/>
      <c r="F84" s="99"/>
      <c r="G84" s="99"/>
      <c r="H84" s="388"/>
      <c r="I84" s="99"/>
      <c r="J84" s="77"/>
      <c r="K84" s="77"/>
      <c r="L84" s="77"/>
      <c r="M84" s="77"/>
      <c r="N84" s="77"/>
      <c r="O84" s="77"/>
    </row>
    <row r="85" spans="1:15" ht="15" x14ac:dyDescent="0.25">
      <c r="A85" s="99"/>
      <c r="B85" s="99"/>
      <c r="C85" s="99"/>
      <c r="D85" s="99"/>
      <c r="E85" s="99"/>
      <c r="F85" s="99"/>
      <c r="G85" s="99"/>
      <c r="H85" s="388"/>
      <c r="I85" s="99"/>
      <c r="J85" s="77"/>
      <c r="K85" s="77"/>
      <c r="L85" s="77"/>
      <c r="M85" s="77"/>
      <c r="N85" s="77"/>
      <c r="O85" s="77"/>
    </row>
    <row r="86" spans="1:15" ht="15" x14ac:dyDescent="0.25">
      <c r="A86" s="99"/>
      <c r="B86" s="99"/>
      <c r="C86" s="99"/>
      <c r="D86" s="99"/>
      <c r="E86" s="99"/>
      <c r="F86" s="99"/>
      <c r="G86" s="99"/>
      <c r="H86" s="388"/>
      <c r="I86" s="99"/>
      <c r="J86" s="77"/>
      <c r="K86" s="77"/>
      <c r="L86" s="77"/>
      <c r="M86" s="77"/>
      <c r="N86" s="77"/>
      <c r="O86" s="77"/>
    </row>
    <row r="87" spans="1:15" ht="15" x14ac:dyDescent="0.25">
      <c r="A87" s="99"/>
      <c r="B87" s="99"/>
      <c r="C87" s="99"/>
      <c r="D87" s="99"/>
      <c r="E87" s="99"/>
      <c r="F87" s="99"/>
      <c r="G87" s="99"/>
      <c r="H87" s="388"/>
      <c r="I87" s="99"/>
      <c r="J87" s="77"/>
      <c r="K87" s="77"/>
      <c r="L87" s="77"/>
      <c r="M87" s="77"/>
      <c r="N87" s="77"/>
      <c r="O87" s="77"/>
    </row>
    <row r="88" spans="1:15" ht="15" x14ac:dyDescent="0.25">
      <c r="A88" s="99"/>
      <c r="B88" s="99"/>
      <c r="C88" s="99"/>
      <c r="D88" s="99"/>
      <c r="E88" s="99"/>
      <c r="F88" s="99"/>
      <c r="G88" s="99"/>
      <c r="H88" s="388"/>
      <c r="I88" s="99"/>
      <c r="J88" s="77"/>
      <c r="K88" s="77"/>
      <c r="L88" s="77"/>
      <c r="M88" s="77"/>
      <c r="N88" s="77"/>
      <c r="O88" s="77"/>
    </row>
    <row r="89" spans="1:15" ht="15" x14ac:dyDescent="0.25">
      <c r="A89" s="99"/>
      <c r="B89" s="99"/>
      <c r="C89" s="99"/>
      <c r="D89" s="99"/>
      <c r="E89" s="99"/>
      <c r="F89" s="99"/>
      <c r="G89" s="99"/>
      <c r="H89" s="388"/>
      <c r="I89" s="99"/>
      <c r="J89" s="77"/>
      <c r="K89" s="77"/>
      <c r="L89" s="77"/>
      <c r="M89" s="77"/>
      <c r="N89" s="77"/>
      <c r="O89" s="77"/>
    </row>
    <row r="90" spans="1:15" ht="15" x14ac:dyDescent="0.25">
      <c r="A90" s="99"/>
      <c r="B90" s="99"/>
      <c r="C90" s="99"/>
      <c r="D90" s="99"/>
      <c r="E90" s="99"/>
      <c r="F90" s="99"/>
      <c r="G90" s="99"/>
      <c r="H90" s="388"/>
      <c r="I90" s="99"/>
      <c r="J90" s="77"/>
      <c r="K90" s="77"/>
      <c r="L90" s="77"/>
      <c r="M90" s="77"/>
      <c r="N90" s="77"/>
      <c r="O90" s="77"/>
    </row>
    <row r="91" spans="1:15" ht="15" x14ac:dyDescent="0.25">
      <c r="A91" s="99"/>
      <c r="B91" s="99"/>
      <c r="C91" s="99"/>
      <c r="D91" s="99"/>
      <c r="E91" s="99"/>
      <c r="F91" s="99"/>
      <c r="G91" s="99"/>
      <c r="H91" s="388"/>
      <c r="I91" s="99"/>
      <c r="J91" s="77"/>
      <c r="K91" s="77"/>
      <c r="L91" s="77"/>
      <c r="M91" s="77"/>
      <c r="N91" s="77"/>
      <c r="O91" s="77"/>
    </row>
    <row r="92" spans="1:15" ht="15" x14ac:dyDescent="0.25">
      <c r="A92" s="99"/>
      <c r="B92" s="99"/>
      <c r="C92" s="99"/>
      <c r="D92" s="99"/>
      <c r="E92" s="99"/>
      <c r="F92" s="99"/>
      <c r="G92" s="99"/>
      <c r="H92" s="388"/>
      <c r="I92" s="99"/>
      <c r="J92" s="77"/>
      <c r="K92" s="77"/>
      <c r="L92" s="77"/>
      <c r="M92" s="77"/>
      <c r="N92" s="77"/>
      <c r="O92" s="77"/>
    </row>
    <row r="93" spans="1:15" ht="15" x14ac:dyDescent="0.25">
      <c r="A93" s="99"/>
      <c r="B93" s="99"/>
      <c r="C93" s="99"/>
      <c r="D93" s="99"/>
      <c r="E93" s="99"/>
      <c r="F93" s="99"/>
      <c r="G93" s="99"/>
      <c r="H93" s="388"/>
      <c r="I93" s="99"/>
      <c r="J93" s="77"/>
      <c r="K93" s="77"/>
      <c r="L93" s="77"/>
      <c r="M93" s="77"/>
      <c r="N93" s="77"/>
      <c r="O93" s="77"/>
    </row>
    <row r="94" spans="1:15" ht="15" x14ac:dyDescent="0.25">
      <c r="A94" s="99"/>
      <c r="B94" s="99"/>
      <c r="C94" s="99"/>
      <c r="D94" s="99"/>
      <c r="E94" s="99"/>
      <c r="F94" s="99"/>
      <c r="G94" s="99"/>
      <c r="H94" s="388"/>
      <c r="I94" s="99"/>
      <c r="J94" s="77"/>
      <c r="K94" s="77"/>
      <c r="L94" s="77"/>
      <c r="M94" s="77"/>
      <c r="N94" s="77"/>
      <c r="O94" s="77"/>
    </row>
    <row r="95" spans="1:15" ht="15" x14ac:dyDescent="0.25">
      <c r="A95" s="99"/>
      <c r="B95" s="99"/>
      <c r="C95" s="99"/>
      <c r="D95" s="99"/>
      <c r="E95" s="99"/>
      <c r="F95" s="99"/>
      <c r="G95" s="99"/>
      <c r="H95" s="388"/>
      <c r="I95" s="99"/>
      <c r="J95" s="77"/>
      <c r="K95" s="77"/>
      <c r="L95" s="77"/>
      <c r="M95" s="77"/>
      <c r="N95" s="77"/>
      <c r="O95" s="77"/>
    </row>
    <row r="96" spans="1:15" ht="15" x14ac:dyDescent="0.25">
      <c r="A96" s="99"/>
      <c r="B96" s="99"/>
      <c r="C96" s="99"/>
      <c r="D96" s="99"/>
      <c r="E96" s="99"/>
      <c r="F96" s="99"/>
      <c r="G96" s="99"/>
      <c r="H96" s="388"/>
      <c r="I96" s="99"/>
      <c r="J96" s="77"/>
      <c r="K96" s="77"/>
      <c r="L96" s="77"/>
      <c r="M96" s="77"/>
      <c r="N96" s="77"/>
      <c r="O96" s="77"/>
    </row>
    <row r="97" spans="1:15" ht="15" x14ac:dyDescent="0.25">
      <c r="A97" s="99"/>
      <c r="B97" s="99"/>
      <c r="C97" s="99"/>
      <c r="D97" s="99"/>
      <c r="E97" s="99"/>
      <c r="F97" s="99"/>
      <c r="G97" s="99"/>
      <c r="H97" s="388"/>
      <c r="I97" s="99"/>
      <c r="J97" s="77"/>
      <c r="K97" s="77"/>
      <c r="L97" s="77"/>
      <c r="M97" s="77"/>
      <c r="N97" s="77"/>
      <c r="O97" s="77"/>
    </row>
    <row r="98" spans="1:15" ht="15" x14ac:dyDescent="0.25">
      <c r="A98" s="99"/>
      <c r="B98" s="99"/>
      <c r="C98" s="99"/>
      <c r="D98" s="99"/>
      <c r="E98" s="99"/>
      <c r="F98" s="99"/>
      <c r="G98" s="99"/>
      <c r="H98" s="388"/>
      <c r="I98" s="99"/>
      <c r="J98" s="77"/>
      <c r="K98" s="77"/>
      <c r="L98" s="77"/>
      <c r="M98" s="77"/>
      <c r="N98" s="77"/>
      <c r="O98" s="77"/>
    </row>
    <row r="99" spans="1:15" ht="15" x14ac:dyDescent="0.25">
      <c r="A99" s="99"/>
      <c r="B99" s="99"/>
      <c r="C99" s="99"/>
      <c r="D99" s="99"/>
      <c r="E99" s="99"/>
      <c r="F99" s="99"/>
      <c r="G99" s="99"/>
      <c r="H99" s="388"/>
      <c r="I99" s="99"/>
      <c r="J99" s="77"/>
      <c r="K99" s="77"/>
      <c r="L99" s="77"/>
      <c r="M99" s="77"/>
      <c r="N99" s="77"/>
      <c r="O99" s="77"/>
    </row>
    <row r="100" spans="1:15" ht="15.6" thickBot="1" x14ac:dyDescent="0.3">
      <c r="A100" s="99"/>
      <c r="B100" s="99"/>
      <c r="C100" s="99"/>
      <c r="D100" s="99"/>
      <c r="E100" s="99"/>
      <c r="F100" s="99"/>
      <c r="G100" s="99"/>
      <c r="H100" s="388"/>
      <c r="I100" s="99"/>
      <c r="J100" s="77"/>
      <c r="K100" s="77"/>
      <c r="L100" s="77"/>
      <c r="M100" s="77"/>
      <c r="N100" s="77"/>
      <c r="O100" s="77"/>
    </row>
    <row r="101" spans="1:15" ht="15" x14ac:dyDescent="0.25">
      <c r="A101" s="894" t="s">
        <v>195</v>
      </c>
      <c r="B101" s="895"/>
      <c r="C101" s="895"/>
      <c r="D101" s="895"/>
      <c r="E101" s="895"/>
      <c r="F101" s="896"/>
      <c r="G101" s="99"/>
      <c r="H101" s="388"/>
      <c r="I101" s="99"/>
      <c r="J101" s="77"/>
      <c r="K101" s="77"/>
      <c r="L101" s="77"/>
      <c r="M101" s="77"/>
      <c r="N101" s="77"/>
      <c r="O101" s="77"/>
    </row>
    <row r="102" spans="1:15" ht="15.6" thickBot="1" x14ac:dyDescent="0.3">
      <c r="A102" s="897"/>
      <c r="B102" s="898"/>
      <c r="C102" s="898"/>
      <c r="D102" s="898"/>
      <c r="E102" s="898"/>
      <c r="F102" s="899"/>
      <c r="G102" s="99"/>
      <c r="H102" s="388"/>
      <c r="I102" s="99"/>
      <c r="J102" s="77"/>
      <c r="K102" s="77"/>
      <c r="L102" s="77"/>
      <c r="M102" s="77"/>
      <c r="N102" s="77"/>
      <c r="O102" s="77"/>
    </row>
    <row r="103" spans="1:15" ht="15" x14ac:dyDescent="0.25">
      <c r="A103" s="162" t="s">
        <v>5</v>
      </c>
      <c r="B103" s="161" t="s">
        <v>6</v>
      </c>
      <c r="C103" s="161" t="s">
        <v>13</v>
      </c>
      <c r="D103" s="161" t="s">
        <v>82</v>
      </c>
      <c r="E103" s="161" t="s">
        <v>115</v>
      </c>
      <c r="F103" s="163" t="s">
        <v>116</v>
      </c>
      <c r="G103" s="99"/>
      <c r="H103" s="388"/>
      <c r="I103" s="99"/>
      <c r="J103" s="77"/>
      <c r="K103" s="77"/>
      <c r="L103" s="77"/>
      <c r="M103" s="77"/>
      <c r="N103" s="77"/>
      <c r="O103" s="77"/>
    </row>
    <row r="104" spans="1:15" ht="15" x14ac:dyDescent="0.25">
      <c r="A104" s="396" t="s">
        <v>239</v>
      </c>
      <c r="B104" s="106"/>
      <c r="C104" s="106"/>
      <c r="D104" s="106"/>
      <c r="E104" s="106"/>
      <c r="F104" s="107"/>
      <c r="G104" s="99"/>
      <c r="H104" s="388"/>
      <c r="I104" s="99"/>
      <c r="J104" s="77"/>
      <c r="K104" s="77"/>
      <c r="L104" s="77"/>
      <c r="M104" s="77"/>
      <c r="N104" s="77"/>
      <c r="O104" s="77"/>
    </row>
    <row r="105" spans="1:15" ht="30" x14ac:dyDescent="0.25">
      <c r="A105" s="396" t="s">
        <v>91</v>
      </c>
      <c r="B105" s="106" t="s">
        <v>190</v>
      </c>
      <c r="C105" s="106" t="s">
        <v>18</v>
      </c>
      <c r="D105" s="106" t="s">
        <v>8</v>
      </c>
      <c r="E105" s="106" t="s">
        <v>36</v>
      </c>
      <c r="F105" s="107" t="s">
        <v>29</v>
      </c>
      <c r="G105" s="99"/>
      <c r="H105" s="388"/>
      <c r="I105" s="99"/>
      <c r="J105" s="77"/>
      <c r="K105" s="77"/>
      <c r="L105" s="77"/>
      <c r="M105" s="77"/>
      <c r="N105" s="77"/>
      <c r="O105" s="77"/>
    </row>
    <row r="106" spans="1:15" ht="30" x14ac:dyDescent="0.25">
      <c r="A106" s="397" t="s">
        <v>27</v>
      </c>
      <c r="B106" s="106" t="s">
        <v>192</v>
      </c>
      <c r="C106" s="106" t="s">
        <v>15</v>
      </c>
      <c r="D106" s="106" t="s">
        <v>84</v>
      </c>
      <c r="E106" s="106" t="s">
        <v>35</v>
      </c>
      <c r="F106" s="107" t="s">
        <v>28</v>
      </c>
      <c r="G106" s="99"/>
      <c r="H106" s="388"/>
      <c r="I106" s="99"/>
      <c r="J106" s="77"/>
      <c r="K106" s="77"/>
      <c r="L106" s="77"/>
      <c r="M106" s="77"/>
      <c r="N106" s="77"/>
      <c r="O106" s="77"/>
    </row>
    <row r="107" spans="1:15" ht="30" x14ac:dyDescent="0.25">
      <c r="A107" s="397" t="s">
        <v>125</v>
      </c>
      <c r="B107" s="106" t="s">
        <v>191</v>
      </c>
      <c r="C107" s="106" t="s">
        <v>16</v>
      </c>
      <c r="D107" s="106"/>
      <c r="E107" s="106" t="s">
        <v>46</v>
      </c>
      <c r="F107" s="107" t="s">
        <v>34</v>
      </c>
      <c r="G107" s="99"/>
      <c r="H107" s="388"/>
      <c r="I107" s="99"/>
      <c r="J107" s="77"/>
      <c r="K107" s="77"/>
      <c r="L107" s="77"/>
      <c r="M107" s="77"/>
      <c r="N107" s="77"/>
      <c r="O107" s="77"/>
    </row>
    <row r="108" spans="1:15" ht="15" x14ac:dyDescent="0.25">
      <c r="A108" s="396" t="s">
        <v>128</v>
      </c>
      <c r="B108" s="106" t="s">
        <v>193</v>
      </c>
      <c r="C108" s="106" t="s">
        <v>20</v>
      </c>
      <c r="D108" s="106"/>
      <c r="E108" s="106" t="s">
        <v>44</v>
      </c>
      <c r="F108" s="107" t="s">
        <v>142</v>
      </c>
      <c r="G108" s="99"/>
      <c r="H108" s="388"/>
      <c r="I108" s="99"/>
      <c r="J108" s="77"/>
      <c r="K108" s="77"/>
      <c r="L108" s="77"/>
      <c r="M108" s="77"/>
      <c r="N108" s="77"/>
      <c r="O108" s="77"/>
    </row>
    <row r="109" spans="1:15" ht="15" x14ac:dyDescent="0.25">
      <c r="A109" s="397" t="s">
        <v>326</v>
      </c>
      <c r="B109" s="106"/>
      <c r="C109" s="106" t="s">
        <v>19</v>
      </c>
      <c r="D109" s="106"/>
      <c r="E109" s="106" t="s">
        <v>37</v>
      </c>
      <c r="F109" s="107" t="s">
        <v>30</v>
      </c>
      <c r="G109" s="99"/>
      <c r="H109" s="388"/>
      <c r="I109" s="99"/>
      <c r="J109" s="77"/>
      <c r="K109" s="77"/>
      <c r="L109" s="77"/>
      <c r="M109" s="77"/>
      <c r="N109" s="77"/>
      <c r="O109" s="77"/>
    </row>
    <row r="110" spans="1:15" ht="30" x14ac:dyDescent="0.25">
      <c r="A110" s="396" t="s">
        <v>308</v>
      </c>
      <c r="B110" s="106"/>
      <c r="C110" s="106" t="s">
        <v>21</v>
      </c>
      <c r="D110" s="106"/>
      <c r="E110" s="106" t="s">
        <v>117</v>
      </c>
      <c r="F110" s="107" t="s">
        <v>121</v>
      </c>
      <c r="G110" s="99"/>
      <c r="H110" s="388"/>
      <c r="I110" s="99"/>
      <c r="J110" s="77"/>
      <c r="K110" s="77"/>
      <c r="L110" s="77"/>
      <c r="M110" s="77"/>
      <c r="N110" s="77"/>
      <c r="O110" s="77"/>
    </row>
    <row r="111" spans="1:15" ht="30" x14ac:dyDescent="0.25">
      <c r="A111" s="396" t="s">
        <v>309</v>
      </c>
      <c r="B111" s="106"/>
      <c r="C111" s="106" t="s">
        <v>14</v>
      </c>
      <c r="D111" s="106"/>
      <c r="E111" s="106" t="s">
        <v>42</v>
      </c>
      <c r="F111" s="107" t="s">
        <v>40</v>
      </c>
      <c r="G111" s="99"/>
      <c r="H111" s="388"/>
      <c r="I111" s="99"/>
      <c r="J111" s="77"/>
      <c r="K111" s="77"/>
      <c r="L111" s="77"/>
      <c r="M111" s="77"/>
      <c r="N111" s="77"/>
      <c r="O111" s="77"/>
    </row>
    <row r="112" spans="1:15" ht="30" x14ac:dyDescent="0.25">
      <c r="A112" s="396" t="s">
        <v>307</v>
      </c>
      <c r="B112" s="106"/>
      <c r="C112" s="106" t="s">
        <v>17</v>
      </c>
      <c r="D112" s="106"/>
      <c r="E112" s="106" t="s">
        <v>38</v>
      </c>
      <c r="F112" s="107" t="s">
        <v>31</v>
      </c>
      <c r="G112" s="99"/>
      <c r="H112" s="388"/>
      <c r="I112" s="99"/>
      <c r="J112" s="77"/>
      <c r="K112" s="77"/>
      <c r="L112" s="77"/>
      <c r="M112" s="77"/>
      <c r="N112" s="77"/>
      <c r="O112" s="77"/>
    </row>
    <row r="113" spans="1:15" ht="15" x14ac:dyDescent="0.25">
      <c r="A113" s="397" t="s">
        <v>4</v>
      </c>
      <c r="B113" s="106"/>
      <c r="C113" s="106"/>
      <c r="D113" s="106"/>
      <c r="E113" s="106" t="s">
        <v>41</v>
      </c>
      <c r="F113" s="107" t="s">
        <v>39</v>
      </c>
      <c r="G113" s="99"/>
      <c r="H113" s="388"/>
      <c r="I113" s="99"/>
      <c r="J113" s="77"/>
      <c r="K113" s="77"/>
      <c r="L113" s="77"/>
      <c r="M113" s="77"/>
      <c r="N113" s="77"/>
      <c r="O113" s="77"/>
    </row>
    <row r="114" spans="1:15" ht="15" x14ac:dyDescent="0.25">
      <c r="A114" s="397" t="s">
        <v>126</v>
      </c>
      <c r="B114" s="106"/>
      <c r="C114" s="106"/>
      <c r="D114" s="106"/>
      <c r="E114" s="106" t="s">
        <v>43</v>
      </c>
      <c r="F114" s="107" t="s">
        <v>120</v>
      </c>
      <c r="G114" s="99"/>
      <c r="H114" s="388"/>
      <c r="I114" s="99"/>
      <c r="J114" s="77"/>
      <c r="K114" s="77"/>
      <c r="L114" s="77"/>
      <c r="M114" s="77"/>
      <c r="N114" s="77"/>
      <c r="O114" s="77"/>
    </row>
    <row r="115" spans="1:15" x14ac:dyDescent="0.25">
      <c r="A115" s="2" t="s">
        <v>238</v>
      </c>
      <c r="B115" s="2"/>
      <c r="C115" s="2"/>
      <c r="D115" s="2"/>
      <c r="E115" s="2" t="s">
        <v>118</v>
      </c>
      <c r="F115" s="2" t="s">
        <v>122</v>
      </c>
      <c r="G115" s="2"/>
      <c r="H115" s="3"/>
      <c r="I115" s="2"/>
    </row>
    <row r="116" spans="1:15" x14ac:dyDescent="0.25">
      <c r="A116" s="2" t="s">
        <v>183</v>
      </c>
      <c r="B116" s="2"/>
      <c r="C116" s="2"/>
      <c r="D116" s="2"/>
      <c r="E116" s="2" t="s">
        <v>45</v>
      </c>
      <c r="F116" s="2" t="s">
        <v>32</v>
      </c>
      <c r="G116" s="2"/>
      <c r="H116" s="3"/>
      <c r="I116" s="2"/>
    </row>
    <row r="117" spans="1:15" ht="15" x14ac:dyDescent="0.25">
      <c r="A117" s="2"/>
      <c r="B117" s="2"/>
      <c r="C117" s="2"/>
      <c r="D117" s="2"/>
      <c r="E117" s="106" t="s">
        <v>142</v>
      </c>
      <c r="F117" s="2"/>
      <c r="G117" s="2"/>
      <c r="H117" s="3"/>
      <c r="I117" s="2"/>
    </row>
    <row r="118" spans="1:15" x14ac:dyDescent="0.25">
      <c r="A118" s="2"/>
      <c r="B118" s="2"/>
      <c r="C118" s="2"/>
      <c r="D118" s="2"/>
      <c r="E118" s="2"/>
      <c r="F118" s="2"/>
      <c r="G118" s="2"/>
      <c r="H118" s="3"/>
      <c r="I118" s="2"/>
    </row>
    <row r="119" spans="1:15" x14ac:dyDescent="0.25">
      <c r="A119" s="2"/>
      <c r="B119" s="2"/>
      <c r="C119" s="2"/>
      <c r="D119" s="2"/>
      <c r="E119" s="2"/>
      <c r="F119" s="2"/>
      <c r="G119" s="2"/>
      <c r="H119" s="3"/>
      <c r="I119" s="2"/>
    </row>
    <row r="120" spans="1:15" x14ac:dyDescent="0.25">
      <c r="A120" s="2"/>
      <c r="B120" s="2"/>
      <c r="C120" s="2"/>
      <c r="D120" s="2"/>
      <c r="E120" s="2"/>
      <c r="F120" s="2"/>
      <c r="G120" s="2"/>
      <c r="H120" s="3"/>
      <c r="I120" s="2"/>
    </row>
    <row r="121" spans="1:15" x14ac:dyDescent="0.25">
      <c r="A121" s="2"/>
      <c r="B121" s="2"/>
      <c r="C121" s="2"/>
      <c r="D121" s="2"/>
      <c r="E121" s="2"/>
      <c r="F121" s="2"/>
      <c r="G121" s="2"/>
      <c r="H121" s="3"/>
      <c r="I121" s="2"/>
    </row>
    <row r="122" spans="1:15" x14ac:dyDescent="0.25">
      <c r="A122" s="2"/>
      <c r="B122" s="2"/>
      <c r="C122" s="2"/>
      <c r="D122" s="2"/>
      <c r="E122" s="2"/>
      <c r="F122" s="2"/>
      <c r="G122" s="2"/>
      <c r="H122" s="3"/>
      <c r="I122" s="2"/>
    </row>
    <row r="123" spans="1:15" x14ac:dyDescent="0.25">
      <c r="A123" s="2"/>
      <c r="B123" s="2"/>
      <c r="C123" s="2"/>
      <c r="D123" s="2"/>
      <c r="E123" s="2"/>
      <c r="F123" s="2"/>
      <c r="G123" s="2"/>
      <c r="H123" s="3"/>
      <c r="I123" s="2"/>
    </row>
    <row r="124" spans="1:15" x14ac:dyDescent="0.25">
      <c r="A124" s="2"/>
      <c r="B124" s="2"/>
      <c r="C124" s="2"/>
      <c r="D124" s="2"/>
      <c r="E124" s="2"/>
      <c r="F124" s="2"/>
      <c r="G124" s="2"/>
      <c r="H124" s="3"/>
      <c r="I124" s="2"/>
    </row>
    <row r="125" spans="1:15" x14ac:dyDescent="0.25">
      <c r="A125" s="2"/>
      <c r="B125" s="2"/>
      <c r="C125" s="2"/>
      <c r="D125" s="2"/>
      <c r="E125" s="2"/>
      <c r="F125" s="2"/>
      <c r="G125" s="2"/>
      <c r="H125" s="3"/>
      <c r="I125" s="2"/>
    </row>
    <row r="126" spans="1:15" x14ac:dyDescent="0.25">
      <c r="A126" s="2"/>
      <c r="B126" s="2"/>
      <c r="C126" s="2"/>
      <c r="D126" s="2"/>
      <c r="E126" s="2"/>
      <c r="F126" s="2"/>
      <c r="G126" s="2"/>
      <c r="H126" s="3"/>
      <c r="I126" s="2"/>
    </row>
    <row r="127" spans="1:15" x14ac:dyDescent="0.25">
      <c r="A127" s="2"/>
      <c r="B127" s="2"/>
      <c r="C127" s="2"/>
      <c r="D127" s="2"/>
      <c r="E127" s="2"/>
      <c r="F127" s="2"/>
      <c r="G127" s="2"/>
      <c r="H127" s="3"/>
      <c r="I127" s="2"/>
    </row>
    <row r="128" spans="1:15" x14ac:dyDescent="0.25">
      <c r="A128" s="2"/>
      <c r="B128" s="2"/>
      <c r="C128" s="2"/>
      <c r="D128" s="2"/>
      <c r="E128" s="2"/>
      <c r="F128" s="2"/>
      <c r="G128" s="2"/>
      <c r="H128" s="3"/>
      <c r="I128" s="2"/>
    </row>
    <row r="129" spans="1:9" x14ac:dyDescent="0.25">
      <c r="A129" s="2"/>
      <c r="B129" s="2"/>
      <c r="C129" s="2"/>
      <c r="D129" s="2"/>
      <c r="E129" s="2"/>
      <c r="F129" s="2"/>
      <c r="G129" s="2"/>
      <c r="H129" s="3"/>
      <c r="I129" s="2"/>
    </row>
  </sheetData>
  <mergeCells count="7">
    <mergeCell ref="A101:F102"/>
    <mergeCell ref="A1:O1"/>
    <mergeCell ref="A3:O3"/>
    <mergeCell ref="A11:O11"/>
    <mergeCell ref="A35:O35"/>
    <mergeCell ref="A47:O47"/>
    <mergeCell ref="A48:F48"/>
  </mergeCells>
  <dataValidations count="7">
    <dataValidation type="list" allowBlank="1" showInputMessage="1" showErrorMessage="1" sqref="F5:F10 F14:F18 F37 F22:F31" xr:uid="{00000000-0002-0000-1100-000000000000}">
      <formula1>$E$110:$E$124</formula1>
    </dataValidation>
    <dataValidation type="list" allowBlank="1" showInputMessage="1" showErrorMessage="1" sqref="G5:G10 G14:G18 G37 G22:G31" xr:uid="{00000000-0002-0000-1100-000001000000}">
      <formula1>$C$110:$C$118</formula1>
    </dataValidation>
    <dataValidation type="list" allowBlank="1" showInputMessage="1" showErrorMessage="1" sqref="A5:A10 A37 A14:A18 A22:A31" xr:uid="{00000000-0002-0000-1100-000002000000}">
      <formula1>$D$110:$D$112</formula1>
    </dataValidation>
    <dataValidation type="list" allowBlank="1" showInputMessage="1" showErrorMessage="1" sqref="B5:B10 B22:B31 B14:B18 B37" xr:uid="{00000000-0002-0000-1100-000003000000}">
      <formula1>$B$110:$B$114</formula1>
    </dataValidation>
    <dataValidation type="list" allowBlank="1" showInputMessage="1" showErrorMessage="1" sqref="E5:E10 E22:E31 E37 E14:E18" xr:uid="{00000000-0002-0000-1100-000004000000}">
      <formula1>$F$110:$F$124</formula1>
    </dataValidation>
    <dataValidation type="list" allowBlank="1" showInputMessage="1" showErrorMessage="1" sqref="C22:D31 C14:D18 C37:D37 C5:D10" xr:uid="{00000000-0002-0000-1100-000005000000}">
      <formula1>$A$110:$A$122</formula1>
    </dataValidation>
    <dataValidation type="list" allowBlank="1" showInputMessage="1" showErrorMessage="1" sqref="E40 C39:D46" xr:uid="{00000000-0002-0000-1100-000006000000}">
      <formula1>#REF!</formula1>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7">
    <tabColor rgb="FFFF0000"/>
  </sheetPr>
  <dimension ref="A1:EA129"/>
  <sheetViews>
    <sheetView topLeftCell="D1" zoomScale="70" zoomScaleNormal="70" workbookViewId="0">
      <selection activeCell="K6" sqref="K6"/>
    </sheetView>
  </sheetViews>
  <sheetFormatPr defaultColWidth="8.77734375" defaultRowHeight="13.2" x14ac:dyDescent="0.25"/>
  <cols>
    <col min="1" max="15" width="26.44140625" customWidth="1"/>
  </cols>
  <sheetData>
    <row r="1" spans="1:131" ht="18" thickBot="1" x14ac:dyDescent="0.3">
      <c r="A1" s="900" t="s">
        <v>310</v>
      </c>
      <c r="B1" s="900"/>
      <c r="C1" s="900"/>
      <c r="D1" s="900"/>
      <c r="E1" s="900"/>
      <c r="F1" s="900"/>
      <c r="G1" s="900"/>
      <c r="H1" s="900"/>
      <c r="I1" s="900"/>
      <c r="J1" s="900"/>
      <c r="K1" s="900"/>
      <c r="L1" s="900"/>
      <c r="M1" s="900"/>
      <c r="N1" s="900"/>
      <c r="O1" s="900"/>
    </row>
    <row r="2" spans="1:131" ht="17.399999999999999" x14ac:dyDescent="0.25">
      <c r="A2" s="531" t="s">
        <v>188</v>
      </c>
      <c r="B2" s="175"/>
      <c r="C2" s="531"/>
      <c r="D2" s="531"/>
      <c r="E2" s="531"/>
      <c r="F2" s="531"/>
      <c r="G2" s="531"/>
      <c r="H2" s="381"/>
      <c r="I2" s="531"/>
      <c r="J2" s="399"/>
      <c r="K2" s="399"/>
      <c r="L2" s="399"/>
      <c r="M2" s="399"/>
      <c r="N2" s="399"/>
      <c r="O2" s="399"/>
    </row>
    <row r="3" spans="1:131" ht="15" x14ac:dyDescent="0.25">
      <c r="A3" s="901" t="s">
        <v>204</v>
      </c>
      <c r="B3" s="902"/>
      <c r="C3" s="902"/>
      <c r="D3" s="902"/>
      <c r="E3" s="902"/>
      <c r="F3" s="902"/>
      <c r="G3" s="902"/>
      <c r="H3" s="902"/>
      <c r="I3" s="902"/>
      <c r="J3" s="902"/>
      <c r="K3" s="902"/>
      <c r="L3" s="902"/>
      <c r="M3" s="902"/>
      <c r="N3" s="902"/>
      <c r="O3" s="903"/>
    </row>
    <row r="4" spans="1:131" ht="60" x14ac:dyDescent="0.25">
      <c r="A4" s="176" t="s">
        <v>89</v>
      </c>
      <c r="B4" s="176" t="s">
        <v>90</v>
      </c>
      <c r="C4" s="177" t="s">
        <v>0</v>
      </c>
      <c r="D4" s="177" t="s">
        <v>124</v>
      </c>
      <c r="E4" s="176" t="s">
        <v>143</v>
      </c>
      <c r="F4" s="176" t="s">
        <v>144</v>
      </c>
      <c r="G4" s="176" t="s">
        <v>13</v>
      </c>
      <c r="H4" s="382" t="s">
        <v>88</v>
      </c>
      <c r="I4" s="176" t="s">
        <v>12</v>
      </c>
      <c r="J4" s="400" t="s">
        <v>158</v>
      </c>
      <c r="K4" s="400" t="s">
        <v>148</v>
      </c>
      <c r="L4" s="400" t="s">
        <v>180</v>
      </c>
      <c r="M4" s="400" t="s">
        <v>104</v>
      </c>
      <c r="N4" s="400" t="s">
        <v>179</v>
      </c>
      <c r="O4" s="400" t="s">
        <v>205</v>
      </c>
    </row>
    <row r="5" spans="1:131" ht="30" x14ac:dyDescent="0.25">
      <c r="A5" s="482" t="s">
        <v>84</v>
      </c>
      <c r="B5" s="482" t="s">
        <v>3</v>
      </c>
      <c r="C5" s="482" t="s">
        <v>307</v>
      </c>
      <c r="D5" s="482" t="s">
        <v>307</v>
      </c>
      <c r="E5" s="327" t="s">
        <v>120</v>
      </c>
      <c r="F5" s="457" t="s">
        <v>44</v>
      </c>
      <c r="G5" s="482" t="s">
        <v>14</v>
      </c>
      <c r="H5" s="483">
        <v>44423</v>
      </c>
      <c r="I5" s="482" t="s">
        <v>23</v>
      </c>
      <c r="J5" s="350">
        <v>143.66999999999999</v>
      </c>
      <c r="K5" s="350">
        <v>110.75</v>
      </c>
      <c r="L5" s="496">
        <f t="shared" ref="L5:L8" si="0">N5-M5</f>
        <v>12.282847259999999</v>
      </c>
      <c r="M5" s="350">
        <f t="shared" ref="M5:N8" si="1">-DZ5/1000000</f>
        <v>0.17100823999999998</v>
      </c>
      <c r="N5" s="350">
        <f t="shared" si="1"/>
        <v>12.4538555</v>
      </c>
      <c r="O5" s="88"/>
      <c r="DZ5">
        <v>-171008.24</v>
      </c>
      <c r="EA5">
        <v>-12453855.5</v>
      </c>
    </row>
    <row r="6" spans="1:131" ht="30" x14ac:dyDescent="0.25">
      <c r="A6" s="485" t="s">
        <v>84</v>
      </c>
      <c r="B6" s="485" t="s">
        <v>3</v>
      </c>
      <c r="C6" s="485" t="s">
        <v>307</v>
      </c>
      <c r="D6" s="485" t="s">
        <v>307</v>
      </c>
      <c r="E6" s="329" t="s">
        <v>120</v>
      </c>
      <c r="F6" s="458" t="s">
        <v>44</v>
      </c>
      <c r="G6" s="485" t="s">
        <v>14</v>
      </c>
      <c r="H6" s="93">
        <v>44576</v>
      </c>
      <c r="I6" s="485" t="s">
        <v>24</v>
      </c>
      <c r="J6" s="351">
        <v>27.4</v>
      </c>
      <c r="K6" s="351">
        <f>'Jul13'!K6</f>
        <v>25.83</v>
      </c>
      <c r="L6" s="497">
        <f t="shared" si="0"/>
        <v>3.28986753</v>
      </c>
      <c r="M6" s="351">
        <f t="shared" si="1"/>
        <v>6.5390920000000005E-2</v>
      </c>
      <c r="N6" s="351">
        <f t="shared" si="1"/>
        <v>3.35525845</v>
      </c>
      <c r="O6" s="96"/>
      <c r="DZ6">
        <v>-65390.92</v>
      </c>
      <c r="EA6">
        <v>-3355258.45</v>
      </c>
    </row>
    <row r="7" spans="1:131" ht="30" x14ac:dyDescent="0.25">
      <c r="A7" s="482" t="s">
        <v>84</v>
      </c>
      <c r="B7" s="482" t="s">
        <v>3</v>
      </c>
      <c r="C7" s="482" t="s">
        <v>308</v>
      </c>
      <c r="D7" s="482" t="s">
        <v>308</v>
      </c>
      <c r="E7" s="327" t="s">
        <v>39</v>
      </c>
      <c r="F7" s="457" t="s">
        <v>38</v>
      </c>
      <c r="G7" s="482" t="s">
        <v>14</v>
      </c>
      <c r="H7" s="483">
        <v>44576</v>
      </c>
      <c r="I7" s="482" t="s">
        <v>24</v>
      </c>
      <c r="J7" s="350">
        <v>26.85</v>
      </c>
      <c r="K7" s="350">
        <f>'Jul13'!K7</f>
        <v>25.38</v>
      </c>
      <c r="L7" s="496">
        <f t="shared" si="0"/>
        <v>3.2257811300000001</v>
      </c>
      <c r="M7" s="350">
        <f t="shared" si="1"/>
        <v>6.4239050000000006E-2</v>
      </c>
      <c r="N7" s="350">
        <f t="shared" si="1"/>
        <v>3.29002018</v>
      </c>
      <c r="O7" s="88"/>
      <c r="DZ7">
        <v>-64239.05</v>
      </c>
      <c r="EA7">
        <v>-3290020.18</v>
      </c>
    </row>
    <row r="8" spans="1:131" ht="30" x14ac:dyDescent="0.25">
      <c r="A8" s="485" t="s">
        <v>84</v>
      </c>
      <c r="B8" s="485" t="s">
        <v>3</v>
      </c>
      <c r="C8" s="485" t="s">
        <v>309</v>
      </c>
      <c r="D8" s="485" t="s">
        <v>125</v>
      </c>
      <c r="E8" s="329" t="s">
        <v>39</v>
      </c>
      <c r="F8" s="458" t="s">
        <v>42</v>
      </c>
      <c r="G8" s="485" t="s">
        <v>14</v>
      </c>
      <c r="H8" s="93">
        <v>46296</v>
      </c>
      <c r="I8" s="485" t="s">
        <v>25</v>
      </c>
      <c r="J8" s="351">
        <v>40.880000000000003</v>
      </c>
      <c r="K8" s="351">
        <f>'Jul13'!K8</f>
        <v>37.659999999999997</v>
      </c>
      <c r="L8" s="497">
        <f t="shared" si="0"/>
        <v>4.3913326799999997</v>
      </c>
      <c r="M8" s="351">
        <f t="shared" si="1"/>
        <v>8.5662749999999996E-2</v>
      </c>
      <c r="N8" s="351">
        <f t="shared" si="1"/>
        <v>4.4769954299999997</v>
      </c>
      <c r="O8" s="96"/>
      <c r="DZ8">
        <v>-85662.75</v>
      </c>
      <c r="EA8">
        <v>-4476995.43</v>
      </c>
    </row>
    <row r="9" spans="1:131" ht="15" x14ac:dyDescent="0.25">
      <c r="A9" s="111"/>
      <c r="B9" s="111"/>
      <c r="C9" s="111"/>
      <c r="D9" s="111"/>
      <c r="E9" s="123"/>
      <c r="F9" s="111"/>
      <c r="G9" s="111"/>
      <c r="H9" s="114"/>
      <c r="I9" s="111"/>
      <c r="J9" s="352"/>
      <c r="K9" s="352"/>
      <c r="L9" s="352"/>
      <c r="M9" s="352"/>
      <c r="N9" s="353"/>
      <c r="O9" s="353"/>
    </row>
    <row r="10" spans="1:131" ht="15" x14ac:dyDescent="0.25">
      <c r="A10" s="485"/>
      <c r="B10" s="485"/>
      <c r="C10" s="485"/>
      <c r="D10" s="485"/>
      <c r="E10" s="329"/>
      <c r="F10" s="485"/>
      <c r="G10" s="485"/>
      <c r="H10" s="93"/>
      <c r="I10" s="485"/>
      <c r="J10" s="351"/>
      <c r="K10" s="351"/>
      <c r="L10" s="351"/>
      <c r="M10" s="351"/>
      <c r="N10" s="96"/>
      <c r="O10" s="96"/>
    </row>
    <row r="11" spans="1:131" ht="15" x14ac:dyDescent="0.25">
      <c r="A11" s="901" t="s">
        <v>203</v>
      </c>
      <c r="B11" s="902"/>
      <c r="C11" s="902"/>
      <c r="D11" s="902"/>
      <c r="E11" s="902"/>
      <c r="F11" s="902"/>
      <c r="G11" s="902"/>
      <c r="H11" s="902"/>
      <c r="I11" s="902"/>
      <c r="J11" s="902"/>
      <c r="K11" s="902"/>
      <c r="L11" s="902"/>
      <c r="M11" s="902"/>
      <c r="N11" s="902"/>
      <c r="O11" s="903"/>
    </row>
    <row r="12" spans="1:131" ht="60" x14ac:dyDescent="0.25">
      <c r="A12" s="176" t="s">
        <v>89</v>
      </c>
      <c r="B12" s="176" t="s">
        <v>90</v>
      </c>
      <c r="C12" s="177" t="s">
        <v>0</v>
      </c>
      <c r="D12" s="180" t="s">
        <v>124</v>
      </c>
      <c r="E12" s="176" t="s">
        <v>143</v>
      </c>
      <c r="F12" s="176" t="s">
        <v>144</v>
      </c>
      <c r="G12" s="176" t="s">
        <v>13</v>
      </c>
      <c r="H12" s="382" t="s">
        <v>88</v>
      </c>
      <c r="I12" s="176" t="s">
        <v>12</v>
      </c>
      <c r="J12" s="400" t="s">
        <v>150</v>
      </c>
      <c r="K12" s="400" t="s">
        <v>151</v>
      </c>
      <c r="L12" s="400" t="s">
        <v>157</v>
      </c>
      <c r="M12" s="400" t="s">
        <v>149</v>
      </c>
      <c r="N12" s="400" t="s">
        <v>179</v>
      </c>
      <c r="O12" s="400" t="s">
        <v>205</v>
      </c>
    </row>
    <row r="13" spans="1:131" ht="15" x14ac:dyDescent="0.25">
      <c r="A13" s="184" t="s">
        <v>197</v>
      </c>
      <c r="B13" s="184"/>
      <c r="C13" s="185"/>
      <c r="D13" s="185"/>
      <c r="E13" s="184"/>
      <c r="F13" s="184"/>
      <c r="G13" s="184"/>
      <c r="H13" s="383"/>
      <c r="I13" s="184"/>
      <c r="J13" s="403"/>
      <c r="K13" s="403"/>
      <c r="L13" s="403"/>
      <c r="M13" s="403"/>
      <c r="N13" s="403"/>
      <c r="O13" s="404"/>
    </row>
    <row r="14" spans="1:131" ht="30" x14ac:dyDescent="0.25">
      <c r="A14" s="482" t="s">
        <v>8</v>
      </c>
      <c r="B14" s="541" t="s">
        <v>7</v>
      </c>
      <c r="C14" s="482" t="s">
        <v>239</v>
      </c>
      <c r="D14" s="482" t="s">
        <v>238</v>
      </c>
      <c r="E14" s="327" t="s">
        <v>32</v>
      </c>
      <c r="F14" s="327" t="s">
        <v>45</v>
      </c>
      <c r="G14" s="482" t="s">
        <v>22</v>
      </c>
      <c r="H14" s="483">
        <v>41820</v>
      </c>
      <c r="I14" s="482" t="s">
        <v>132</v>
      </c>
      <c r="J14" s="88">
        <v>17.489999999999998</v>
      </c>
      <c r="K14" s="88">
        <v>-2.37</v>
      </c>
      <c r="L14" s="488">
        <v>15.119999999999997</v>
      </c>
      <c r="M14" s="88"/>
      <c r="N14" s="88"/>
      <c r="O14" s="88"/>
    </row>
    <row r="15" spans="1:131" ht="30" x14ac:dyDescent="0.25">
      <c r="A15" s="485" t="s">
        <v>8</v>
      </c>
      <c r="B15" s="485" t="s">
        <v>193</v>
      </c>
      <c r="C15" s="485" t="s">
        <v>239</v>
      </c>
      <c r="D15" s="485" t="s">
        <v>238</v>
      </c>
      <c r="E15" s="485" t="s">
        <v>32</v>
      </c>
      <c r="F15" s="485" t="s">
        <v>45</v>
      </c>
      <c r="G15" s="485" t="s">
        <v>22</v>
      </c>
      <c r="H15" s="385">
        <v>42185</v>
      </c>
      <c r="I15" s="485" t="s">
        <v>133</v>
      </c>
      <c r="J15" s="379">
        <v>13.19</v>
      </c>
      <c r="K15" s="379">
        <v>0</v>
      </c>
      <c r="L15" s="489">
        <v>13.19</v>
      </c>
      <c r="M15" s="379"/>
      <c r="N15" s="379"/>
      <c r="O15" s="379"/>
    </row>
    <row r="16" spans="1:131" ht="30" x14ac:dyDescent="0.25">
      <c r="A16" s="482" t="s">
        <v>8</v>
      </c>
      <c r="B16" s="482" t="s">
        <v>193</v>
      </c>
      <c r="C16" s="482" t="s">
        <v>239</v>
      </c>
      <c r="D16" s="482" t="s">
        <v>238</v>
      </c>
      <c r="E16" s="482" t="s">
        <v>32</v>
      </c>
      <c r="F16" s="482" t="s">
        <v>45</v>
      </c>
      <c r="G16" s="482" t="s">
        <v>22</v>
      </c>
      <c r="H16" s="386">
        <v>42551</v>
      </c>
      <c r="I16" s="482" t="s">
        <v>300</v>
      </c>
      <c r="J16" s="380">
        <v>1.0900000000000001</v>
      </c>
      <c r="K16" s="380">
        <v>0</v>
      </c>
      <c r="L16" s="488">
        <v>1.0900000000000001</v>
      </c>
      <c r="M16" s="380"/>
      <c r="N16" s="380"/>
      <c r="O16" s="380"/>
    </row>
    <row r="17" spans="1:15" ht="30" x14ac:dyDescent="0.25">
      <c r="A17" s="485" t="s">
        <v>8</v>
      </c>
      <c r="B17" s="485" t="s">
        <v>193</v>
      </c>
      <c r="C17" s="485" t="s">
        <v>239</v>
      </c>
      <c r="D17" s="485" t="s">
        <v>238</v>
      </c>
      <c r="E17" s="485" t="s">
        <v>32</v>
      </c>
      <c r="F17" s="485" t="s">
        <v>45</v>
      </c>
      <c r="G17" s="485" t="s">
        <v>22</v>
      </c>
      <c r="H17" s="385">
        <v>42916</v>
      </c>
      <c r="I17" s="485" t="s">
        <v>345</v>
      </c>
      <c r="J17" s="379">
        <v>0</v>
      </c>
      <c r="K17" s="379">
        <v>0</v>
      </c>
      <c r="L17" s="490">
        <v>0</v>
      </c>
      <c r="M17" s="379"/>
      <c r="N17" s="379"/>
      <c r="O17" s="379"/>
    </row>
    <row r="18" spans="1:15" ht="15" x14ac:dyDescent="0.25">
      <c r="A18" s="181"/>
      <c r="B18" s="181"/>
      <c r="C18" s="181"/>
      <c r="D18" s="181"/>
      <c r="E18" s="182"/>
      <c r="F18" s="181"/>
      <c r="G18" s="181"/>
      <c r="H18" s="183" t="s">
        <v>206</v>
      </c>
      <c r="I18" s="181"/>
      <c r="J18" s="354">
        <v>31.77</v>
      </c>
      <c r="K18" s="354">
        <v>-2.37</v>
      </c>
      <c r="L18" s="354">
        <v>29.399999999999995</v>
      </c>
      <c r="M18" s="354">
        <v>26.633417999999995</v>
      </c>
      <c r="N18" s="354">
        <v>2.7665820000000001</v>
      </c>
      <c r="O18" s="354">
        <v>35</v>
      </c>
    </row>
    <row r="19" spans="1:15" ht="15" x14ac:dyDescent="0.25">
      <c r="A19" s="181" t="s">
        <v>295</v>
      </c>
      <c r="B19" s="181"/>
      <c r="C19" s="181"/>
      <c r="D19" s="181"/>
      <c r="E19" s="182"/>
      <c r="F19" s="181"/>
      <c r="G19" s="181"/>
      <c r="H19" s="183"/>
      <c r="I19" s="181"/>
      <c r="J19" s="354"/>
      <c r="K19" s="354"/>
      <c r="L19" s="354"/>
      <c r="M19" s="354"/>
      <c r="N19" s="354"/>
      <c r="O19" s="354"/>
    </row>
    <row r="20" spans="1:15" ht="15" x14ac:dyDescent="0.25">
      <c r="A20" s="184" t="s">
        <v>327</v>
      </c>
      <c r="B20" s="184"/>
      <c r="C20" s="185"/>
      <c r="D20" s="185"/>
      <c r="E20" s="184"/>
      <c r="F20" s="184"/>
      <c r="G20" s="184"/>
      <c r="H20" s="383"/>
      <c r="I20" s="184"/>
      <c r="J20" s="459"/>
      <c r="K20" s="459"/>
      <c r="L20" s="459"/>
      <c r="M20" s="459"/>
      <c r="N20" s="459"/>
      <c r="O20" s="186"/>
    </row>
    <row r="21" spans="1:15" ht="30" x14ac:dyDescent="0.25">
      <c r="A21" s="482" t="s">
        <v>8</v>
      </c>
      <c r="B21" s="482" t="s">
        <v>7</v>
      </c>
      <c r="C21" s="482" t="s">
        <v>27</v>
      </c>
      <c r="D21" s="482" t="s">
        <v>127</v>
      </c>
      <c r="E21" s="327" t="s">
        <v>33</v>
      </c>
      <c r="F21" s="327" t="s">
        <v>45</v>
      </c>
      <c r="G21" s="482" t="s">
        <v>22</v>
      </c>
      <c r="H21" s="483">
        <v>41820</v>
      </c>
      <c r="I21" s="482" t="s">
        <v>138</v>
      </c>
      <c r="J21" s="88">
        <v>0.92112859999999996</v>
      </c>
      <c r="K21" s="88">
        <v>-0.53663300000000003</v>
      </c>
      <c r="L21" s="488">
        <v>0.38449559999999994</v>
      </c>
      <c r="M21" s="486"/>
      <c r="N21" s="486"/>
      <c r="O21" s="486"/>
    </row>
    <row r="22" spans="1:15" ht="30" x14ac:dyDescent="0.25">
      <c r="A22" s="482" t="s">
        <v>8</v>
      </c>
      <c r="B22" s="485" t="s">
        <v>7</v>
      </c>
      <c r="C22" s="485" t="s">
        <v>27</v>
      </c>
      <c r="D22" s="485" t="s">
        <v>127</v>
      </c>
      <c r="E22" s="485" t="s">
        <v>33</v>
      </c>
      <c r="F22" s="485" t="s">
        <v>45</v>
      </c>
      <c r="G22" s="485" t="s">
        <v>22</v>
      </c>
      <c r="H22" s="385">
        <v>42185</v>
      </c>
      <c r="I22" s="485" t="s">
        <v>139</v>
      </c>
      <c r="J22" s="379"/>
      <c r="K22" s="379"/>
      <c r="L22" s="489">
        <v>0</v>
      </c>
      <c r="M22" s="484"/>
      <c r="N22" s="484"/>
      <c r="O22" s="484"/>
    </row>
    <row r="23" spans="1:15" ht="30" x14ac:dyDescent="0.25">
      <c r="A23" s="482" t="s">
        <v>8</v>
      </c>
      <c r="B23" s="482" t="s">
        <v>7</v>
      </c>
      <c r="C23" s="482" t="s">
        <v>27</v>
      </c>
      <c r="D23" s="482" t="s">
        <v>127</v>
      </c>
      <c r="E23" s="482" t="s">
        <v>33</v>
      </c>
      <c r="F23" s="482" t="s">
        <v>45</v>
      </c>
      <c r="G23" s="482" t="s">
        <v>22</v>
      </c>
      <c r="H23" s="386">
        <v>42551</v>
      </c>
      <c r="I23" s="482" t="s">
        <v>301</v>
      </c>
      <c r="J23" s="380"/>
      <c r="K23" s="380"/>
      <c r="L23" s="488">
        <v>0</v>
      </c>
      <c r="M23" s="487"/>
      <c r="N23" s="487"/>
      <c r="O23" s="487"/>
    </row>
    <row r="24" spans="1:15" ht="30" x14ac:dyDescent="0.25">
      <c r="A24" s="482" t="s">
        <v>8</v>
      </c>
      <c r="B24" s="485" t="s">
        <v>7</v>
      </c>
      <c r="C24" s="485" t="s">
        <v>27</v>
      </c>
      <c r="D24" s="485" t="s">
        <v>127</v>
      </c>
      <c r="E24" s="485" t="s">
        <v>33</v>
      </c>
      <c r="F24" s="485" t="s">
        <v>45</v>
      </c>
      <c r="G24" s="485" t="s">
        <v>22</v>
      </c>
      <c r="H24" s="385">
        <v>42916</v>
      </c>
      <c r="I24" s="485" t="s">
        <v>346</v>
      </c>
      <c r="J24" s="379"/>
      <c r="K24" s="379"/>
      <c r="L24" s="490">
        <v>0</v>
      </c>
      <c r="M24" s="484"/>
      <c r="N24" s="484"/>
      <c r="O24" s="484"/>
    </row>
    <row r="25" spans="1:15" ht="15" x14ac:dyDescent="0.25">
      <c r="A25" s="181" t="s">
        <v>324</v>
      </c>
      <c r="B25" s="181"/>
      <c r="C25" s="181"/>
      <c r="D25" s="181"/>
      <c r="E25" s="182"/>
      <c r="F25" s="181"/>
      <c r="G25" s="181"/>
      <c r="H25" s="183" t="s">
        <v>206</v>
      </c>
      <c r="I25" s="181"/>
      <c r="J25" s="354">
        <v>0.92112859999999996</v>
      </c>
      <c r="K25" s="354">
        <v>-0.53663300000000003</v>
      </c>
      <c r="L25" s="354">
        <v>0.38449559999999994</v>
      </c>
      <c r="M25" s="354">
        <v>0.27501919999999991</v>
      </c>
      <c r="N25" s="354">
        <v>0.10947640000000003</v>
      </c>
      <c r="O25" s="354"/>
    </row>
    <row r="26" spans="1:15" ht="15" x14ac:dyDescent="0.25">
      <c r="A26" s="181"/>
      <c r="B26" s="181"/>
      <c r="C26" s="181"/>
      <c r="D26" s="181"/>
      <c r="E26" s="182"/>
      <c r="F26" s="181"/>
      <c r="G26" s="181"/>
      <c r="H26" s="183"/>
      <c r="I26" s="181"/>
      <c r="J26" s="354"/>
      <c r="K26" s="354"/>
      <c r="L26" s="354"/>
      <c r="M26" s="354"/>
      <c r="N26" s="354"/>
      <c r="O26" s="354"/>
    </row>
    <row r="27" spans="1:15" ht="15" x14ac:dyDescent="0.25">
      <c r="A27" s="184" t="s">
        <v>328</v>
      </c>
      <c r="B27" s="184"/>
      <c r="C27" s="185"/>
      <c r="D27" s="185"/>
      <c r="E27" s="184"/>
      <c r="F27" s="184"/>
      <c r="G27" s="184"/>
      <c r="H27" s="383"/>
      <c r="I27" s="184"/>
      <c r="J27" s="459"/>
      <c r="K27" s="459"/>
      <c r="L27" s="459"/>
      <c r="M27" s="459"/>
      <c r="N27" s="459"/>
      <c r="O27" s="186"/>
    </row>
    <row r="28" spans="1:15" ht="30" x14ac:dyDescent="0.25">
      <c r="A28" s="482" t="s">
        <v>8</v>
      </c>
      <c r="B28" s="482" t="s">
        <v>7</v>
      </c>
      <c r="C28" s="482" t="s">
        <v>92</v>
      </c>
      <c r="D28" s="482" t="s">
        <v>128</v>
      </c>
      <c r="E28" s="327" t="s">
        <v>33</v>
      </c>
      <c r="F28" s="327" t="s">
        <v>45</v>
      </c>
      <c r="G28" s="482" t="s">
        <v>22</v>
      </c>
      <c r="H28" s="483">
        <v>41820</v>
      </c>
      <c r="I28" s="482" t="s">
        <v>138</v>
      </c>
      <c r="J28" s="88">
        <v>2.7230235199999999</v>
      </c>
      <c r="K28" s="88">
        <v>-0.87045359999999994</v>
      </c>
      <c r="L28" s="488">
        <v>1.8525699200000001</v>
      </c>
      <c r="M28" s="379"/>
      <c r="N28" s="379"/>
      <c r="O28" s="379"/>
    </row>
    <row r="29" spans="1:15" ht="30" x14ac:dyDescent="0.25">
      <c r="A29" s="485" t="s">
        <v>8</v>
      </c>
      <c r="B29" s="485" t="s">
        <v>7</v>
      </c>
      <c r="C29" s="485" t="s">
        <v>92</v>
      </c>
      <c r="D29" s="485" t="s">
        <v>128</v>
      </c>
      <c r="E29" s="485" t="s">
        <v>33</v>
      </c>
      <c r="F29" s="485" t="s">
        <v>45</v>
      </c>
      <c r="G29" s="485" t="s">
        <v>22</v>
      </c>
      <c r="H29" s="385">
        <v>42185</v>
      </c>
      <c r="I29" s="485" t="s">
        <v>139</v>
      </c>
      <c r="J29" s="379">
        <v>1.5495680000000001</v>
      </c>
      <c r="K29" s="379">
        <v>0</v>
      </c>
      <c r="L29" s="489">
        <v>1.5495680000000001</v>
      </c>
      <c r="M29" s="380"/>
      <c r="N29" s="380"/>
      <c r="O29" s="380"/>
    </row>
    <row r="30" spans="1:15" ht="30" x14ac:dyDescent="0.25">
      <c r="A30" s="482" t="s">
        <v>8</v>
      </c>
      <c r="B30" s="482" t="s">
        <v>7</v>
      </c>
      <c r="C30" s="482" t="s">
        <v>92</v>
      </c>
      <c r="D30" s="482" t="s">
        <v>128</v>
      </c>
      <c r="E30" s="482" t="s">
        <v>33</v>
      </c>
      <c r="F30" s="482" t="s">
        <v>45</v>
      </c>
      <c r="G30" s="482" t="s">
        <v>22</v>
      </c>
      <c r="H30" s="386">
        <v>42551</v>
      </c>
      <c r="I30" s="482" t="s">
        <v>301</v>
      </c>
      <c r="J30" s="380">
        <v>0.72236800000000001</v>
      </c>
      <c r="K30" s="380">
        <v>0</v>
      </c>
      <c r="L30" s="488">
        <v>0.72236800000000001</v>
      </c>
      <c r="M30" s="379"/>
      <c r="N30" s="379"/>
      <c r="O30" s="379"/>
    </row>
    <row r="31" spans="1:15" ht="30" x14ac:dyDescent="0.25">
      <c r="A31" s="485" t="s">
        <v>8</v>
      </c>
      <c r="B31" s="485" t="s">
        <v>7</v>
      </c>
      <c r="C31" s="485" t="s">
        <v>92</v>
      </c>
      <c r="D31" s="485" t="s">
        <v>128</v>
      </c>
      <c r="E31" s="485" t="s">
        <v>33</v>
      </c>
      <c r="F31" s="485" t="s">
        <v>45</v>
      </c>
      <c r="G31" s="485" t="s">
        <v>22</v>
      </c>
      <c r="H31" s="385">
        <v>42916</v>
      </c>
      <c r="I31" s="485" t="s">
        <v>346</v>
      </c>
      <c r="J31" s="379">
        <v>0</v>
      </c>
      <c r="K31" s="379">
        <v>0</v>
      </c>
      <c r="L31" s="490">
        <v>0</v>
      </c>
      <c r="M31" s="380"/>
      <c r="N31" s="380"/>
      <c r="O31" s="380"/>
    </row>
    <row r="32" spans="1:15" ht="15" x14ac:dyDescent="0.25">
      <c r="A32" s="181" t="s">
        <v>325</v>
      </c>
      <c r="B32" s="181"/>
      <c r="C32" s="181"/>
      <c r="D32" s="181"/>
      <c r="E32" s="182"/>
      <c r="F32" s="181"/>
      <c r="G32" s="181"/>
      <c r="H32" s="183" t="s">
        <v>206</v>
      </c>
      <c r="I32" s="181"/>
      <c r="J32" s="354">
        <v>4.9949595200000001</v>
      </c>
      <c r="K32" s="354">
        <v>-0.87045359999999994</v>
      </c>
      <c r="L32" s="354">
        <v>4.1245059200000007</v>
      </c>
      <c r="M32" s="354">
        <v>4.2831333650000012</v>
      </c>
      <c r="N32" s="354">
        <v>-0.15862744500000014</v>
      </c>
      <c r="O32" s="354"/>
    </row>
    <row r="33" spans="1:15" ht="30" x14ac:dyDescent="0.25">
      <c r="A33" s="181" t="s">
        <v>331</v>
      </c>
      <c r="B33" s="181"/>
      <c r="C33" s="181"/>
      <c r="D33" s="181"/>
      <c r="E33" s="182"/>
      <c r="F33" s="181"/>
      <c r="G33" s="181"/>
      <c r="H33" s="183"/>
      <c r="I33" s="181"/>
      <c r="J33" s="354">
        <f>J32 + J25</f>
        <v>5.9160881200000004</v>
      </c>
      <c r="K33" s="354">
        <f>K32 + K25</f>
        <v>-1.4070866</v>
      </c>
      <c r="L33" s="354">
        <f>L32 + L25</f>
        <v>4.5090015200000009</v>
      </c>
      <c r="M33" s="354">
        <f>M32 + M25</f>
        <v>4.5581525650000012</v>
      </c>
      <c r="N33" s="354">
        <f>IF(AND(N32&gt;0, N25&gt;0),N32 + N25,IF(AND(N32&gt;0, N25&lt;=0),N32,IF(AND(N32&lt;0, N25&gt;=0), N25,0)))</f>
        <v>0.10947640000000003</v>
      </c>
      <c r="O33" s="354"/>
    </row>
    <row r="34" spans="1:15" ht="15" x14ac:dyDescent="0.25">
      <c r="A34" s="184" t="s">
        <v>298</v>
      </c>
      <c r="B34" s="184"/>
      <c r="C34" s="185"/>
      <c r="D34" s="185"/>
      <c r="E34" s="184"/>
      <c r="F34" s="184"/>
      <c r="G34" s="184"/>
      <c r="H34" s="383"/>
      <c r="I34" s="184"/>
      <c r="J34" s="403"/>
      <c r="K34" s="403"/>
      <c r="L34" s="403"/>
      <c r="M34" s="403"/>
      <c r="N34" s="403"/>
      <c r="O34" s="404"/>
    </row>
    <row r="35" spans="1:15" ht="15" x14ac:dyDescent="0.25">
      <c r="A35" s="901" t="s">
        <v>325</v>
      </c>
      <c r="B35" s="902"/>
      <c r="C35" s="902"/>
      <c r="D35" s="902"/>
      <c r="E35" s="902"/>
      <c r="F35" s="902"/>
      <c r="G35" s="902"/>
      <c r="H35" s="902"/>
      <c r="I35" s="902"/>
      <c r="J35" s="902"/>
      <c r="K35" s="902"/>
      <c r="L35" s="902"/>
      <c r="M35" s="902"/>
      <c r="N35" s="902"/>
      <c r="O35" s="903"/>
    </row>
    <row r="36" spans="1:15" ht="60" x14ac:dyDescent="0.25">
      <c r="A36" s="176" t="s">
        <v>89</v>
      </c>
      <c r="B36" s="176" t="s">
        <v>90</v>
      </c>
      <c r="C36" s="177" t="s">
        <v>0</v>
      </c>
      <c r="D36" s="177" t="s">
        <v>124</v>
      </c>
      <c r="E36" s="176" t="s">
        <v>143</v>
      </c>
      <c r="F36" s="176" t="s">
        <v>144</v>
      </c>
      <c r="G36" s="176" t="s">
        <v>13</v>
      </c>
      <c r="H36" s="382" t="s">
        <v>88</v>
      </c>
      <c r="I36" s="176" t="s">
        <v>12</v>
      </c>
      <c r="J36" s="400" t="s">
        <v>200</v>
      </c>
      <c r="K36" s="400" t="s">
        <v>199</v>
      </c>
      <c r="L36" s="400" t="s">
        <v>201</v>
      </c>
      <c r="M36" s="400" t="s">
        <v>149</v>
      </c>
      <c r="N36" s="400" t="s">
        <v>179</v>
      </c>
      <c r="O36" s="400" t="s">
        <v>304</v>
      </c>
    </row>
    <row r="37" spans="1:15" ht="30" x14ac:dyDescent="0.25">
      <c r="A37" s="485" t="s">
        <v>84</v>
      </c>
      <c r="B37" s="485" t="s">
        <v>9</v>
      </c>
      <c r="C37" s="485" t="s">
        <v>183</v>
      </c>
      <c r="D37" s="485" t="s">
        <v>142</v>
      </c>
      <c r="E37" s="329" t="s">
        <v>142</v>
      </c>
      <c r="F37" s="485" t="s">
        <v>142</v>
      </c>
      <c r="G37" s="485" t="s">
        <v>22</v>
      </c>
      <c r="H37" s="93">
        <v>41449</v>
      </c>
      <c r="I37" s="485" t="s">
        <v>172</v>
      </c>
      <c r="J37" s="96">
        <v>7.0349999999999996E-2</v>
      </c>
      <c r="K37" s="96" t="s">
        <v>299</v>
      </c>
      <c r="L37" s="292">
        <v>7.0349999999999996E-2</v>
      </c>
      <c r="M37" s="292">
        <f>+O37*50000/1000000</f>
        <v>6.6104999999999997E-2</v>
      </c>
      <c r="N37" s="292">
        <f>M37-L37</f>
        <v>-4.2449999999999988E-3</v>
      </c>
      <c r="O37" s="486">
        <v>1.3221000000000001</v>
      </c>
    </row>
    <row r="38" spans="1:15" ht="30" x14ac:dyDescent="0.25">
      <c r="A38" s="111" t="s">
        <v>297</v>
      </c>
      <c r="B38" s="99"/>
      <c r="C38" s="2"/>
      <c r="D38" s="2"/>
      <c r="E38" s="2"/>
      <c r="F38" s="2"/>
      <c r="G38" s="2"/>
      <c r="H38" s="3"/>
      <c r="I38" s="2"/>
      <c r="J38" s="293"/>
      <c r="K38" s="293"/>
      <c r="L38" s="491">
        <f>L37</f>
        <v>7.0349999999999996E-2</v>
      </c>
      <c r="M38" s="144"/>
      <c r="N38" s="491">
        <f>IF(N37&gt;0,N37,0)</f>
        <v>0</v>
      </c>
      <c r="O38" s="144"/>
    </row>
    <row r="39" spans="1:15" ht="15" x14ac:dyDescent="0.25">
      <c r="A39" s="99"/>
      <c r="B39" s="99"/>
      <c r="C39" s="99"/>
      <c r="D39" s="99"/>
      <c r="E39" s="99"/>
      <c r="F39" s="99"/>
      <c r="G39" s="99"/>
      <c r="H39" s="388"/>
      <c r="I39" s="99"/>
      <c r="J39" s="144"/>
      <c r="K39" s="144"/>
      <c r="L39" s="144"/>
      <c r="M39" s="144"/>
      <c r="N39" s="144"/>
      <c r="O39" s="144"/>
    </row>
    <row r="40" spans="1:15" ht="15" x14ac:dyDescent="0.25">
      <c r="A40" s="99"/>
      <c r="B40" s="99"/>
      <c r="C40" s="99"/>
      <c r="D40" s="99"/>
      <c r="E40" s="99"/>
      <c r="F40" s="99"/>
      <c r="G40" s="99"/>
      <c r="H40" s="388"/>
      <c r="I40" s="99"/>
      <c r="J40" s="77"/>
      <c r="K40" s="144"/>
      <c r="L40" s="144"/>
      <c r="M40" s="77"/>
      <c r="N40" s="77"/>
      <c r="O40" s="77"/>
    </row>
    <row r="41" spans="1:15" ht="15" x14ac:dyDescent="0.25">
      <c r="A41" s="99"/>
      <c r="B41" s="99"/>
      <c r="C41" s="99"/>
      <c r="D41" s="99"/>
      <c r="E41" s="99"/>
      <c r="F41" s="99"/>
      <c r="G41" s="99"/>
      <c r="H41" s="388"/>
      <c r="I41" s="99"/>
      <c r="J41" s="77"/>
      <c r="K41" s="77"/>
      <c r="L41" s="77"/>
      <c r="M41" s="77"/>
      <c r="N41" s="77"/>
      <c r="O41" s="77"/>
    </row>
    <row r="42" spans="1:15" ht="15" x14ac:dyDescent="0.25">
      <c r="A42" s="99"/>
      <c r="B42" s="99"/>
      <c r="C42" s="99"/>
      <c r="D42" s="99"/>
      <c r="E42" s="99"/>
      <c r="F42" s="99"/>
      <c r="G42" s="99"/>
      <c r="H42" s="388"/>
      <c r="I42" s="99"/>
      <c r="J42" s="77"/>
      <c r="K42" s="77"/>
      <c r="L42" s="77"/>
      <c r="M42" s="77"/>
      <c r="N42" s="77"/>
      <c r="O42" s="77"/>
    </row>
    <row r="43" spans="1:15" ht="15" x14ac:dyDescent="0.25">
      <c r="A43" s="99"/>
      <c r="B43" s="99"/>
      <c r="C43" s="99"/>
      <c r="D43" s="99"/>
      <c r="E43" s="99"/>
      <c r="F43" s="99"/>
      <c r="G43" s="99"/>
      <c r="H43" s="388"/>
      <c r="I43" s="99"/>
      <c r="J43" s="77"/>
      <c r="K43" s="77"/>
      <c r="L43" s="77"/>
      <c r="M43" s="77"/>
      <c r="N43" s="77"/>
      <c r="O43" s="77"/>
    </row>
    <row r="44" spans="1:15" ht="15" x14ac:dyDescent="0.25">
      <c r="A44" s="99"/>
      <c r="B44" s="99"/>
      <c r="C44" s="99"/>
      <c r="D44" s="99"/>
      <c r="E44" s="99"/>
      <c r="F44" s="99"/>
      <c r="G44" s="99"/>
      <c r="H44" s="388"/>
      <c r="I44" s="99"/>
      <c r="J44" s="77"/>
      <c r="K44" s="77"/>
      <c r="L44" s="77"/>
      <c r="M44" s="77"/>
      <c r="N44" s="77"/>
      <c r="O44" s="77"/>
    </row>
    <row r="45" spans="1:15" ht="15" x14ac:dyDescent="0.25">
      <c r="A45" s="99"/>
      <c r="B45" s="99"/>
      <c r="C45" s="99"/>
      <c r="D45" s="99"/>
      <c r="E45" s="99"/>
      <c r="F45" s="99"/>
      <c r="G45" s="99"/>
      <c r="H45" s="388"/>
      <c r="I45" s="99"/>
      <c r="J45" s="77"/>
      <c r="K45" s="77"/>
      <c r="L45" s="77"/>
      <c r="M45" s="77"/>
      <c r="N45" s="77"/>
      <c r="O45" s="77"/>
    </row>
    <row r="46" spans="1:15" ht="15" x14ac:dyDescent="0.25">
      <c r="A46" s="99"/>
      <c r="B46" s="99"/>
      <c r="C46" s="99"/>
      <c r="D46" s="99"/>
      <c r="E46" s="99"/>
      <c r="F46" s="99"/>
      <c r="G46" s="99"/>
      <c r="H46" s="388"/>
      <c r="I46" s="99"/>
      <c r="J46" s="77"/>
      <c r="K46" s="77"/>
      <c r="L46" s="77"/>
      <c r="M46" s="77"/>
      <c r="N46" s="77"/>
      <c r="O46" s="77"/>
    </row>
    <row r="47" spans="1:15" ht="15.6" thickBot="1" x14ac:dyDescent="0.3">
      <c r="A47" s="904"/>
      <c r="B47" s="904"/>
      <c r="C47" s="904"/>
      <c r="D47" s="904"/>
      <c r="E47" s="904"/>
      <c r="F47" s="904"/>
      <c r="G47" s="904"/>
      <c r="H47" s="904"/>
      <c r="I47" s="904"/>
      <c r="J47" s="904"/>
      <c r="K47" s="904"/>
      <c r="L47" s="904"/>
      <c r="M47" s="904"/>
      <c r="N47" s="904"/>
      <c r="O47" s="904"/>
    </row>
    <row r="48" spans="1:15" ht="15.6" x14ac:dyDescent="0.3">
      <c r="A48" s="905"/>
      <c r="B48" s="905"/>
      <c r="C48" s="905"/>
      <c r="D48" s="905"/>
      <c r="E48" s="905"/>
      <c r="F48" s="905"/>
      <c r="G48" s="99"/>
      <c r="H48" s="388"/>
      <c r="I48" s="99"/>
      <c r="J48" s="77"/>
      <c r="K48" s="77"/>
      <c r="L48" s="77"/>
      <c r="M48" s="77"/>
      <c r="N48" s="77"/>
      <c r="O48" s="77"/>
    </row>
    <row r="49" spans="1:15" ht="15.6" x14ac:dyDescent="0.3">
      <c r="A49" s="202"/>
      <c r="B49" s="203"/>
      <c r="C49" s="203"/>
      <c r="D49" s="202"/>
      <c r="E49" s="202"/>
      <c r="F49" s="202"/>
      <c r="G49" s="99"/>
      <c r="H49" s="384"/>
      <c r="I49" s="99"/>
      <c r="J49" s="77"/>
      <c r="K49" s="77"/>
      <c r="L49" s="77"/>
      <c r="M49" s="77"/>
      <c r="N49" s="77"/>
      <c r="O49" s="77"/>
    </row>
    <row r="50" spans="1:15" ht="15" x14ac:dyDescent="0.25">
      <c r="A50" s="391"/>
      <c r="B50" s="391"/>
      <c r="C50" s="391"/>
      <c r="D50" s="391"/>
      <c r="E50" s="391"/>
      <c r="F50" s="391"/>
      <c r="G50" s="99"/>
      <c r="H50" s="388"/>
      <c r="I50" s="99"/>
      <c r="J50" s="77"/>
      <c r="K50" s="77"/>
      <c r="L50" s="77"/>
      <c r="M50" s="77"/>
      <c r="N50" s="77"/>
      <c r="O50" s="77"/>
    </row>
    <row r="51" spans="1:15" ht="15" x14ac:dyDescent="0.25">
      <c r="A51" s="395"/>
      <c r="B51" s="392"/>
      <c r="C51" s="392"/>
      <c r="D51" s="392"/>
      <c r="E51" s="392"/>
      <c r="F51" s="205"/>
      <c r="G51" s="99"/>
      <c r="H51" s="388"/>
      <c r="I51" s="99"/>
      <c r="J51" s="77"/>
      <c r="K51" s="77"/>
      <c r="L51" s="77"/>
      <c r="M51" s="77"/>
      <c r="N51" s="77"/>
      <c r="O51" s="77"/>
    </row>
    <row r="52" spans="1:15" ht="15" x14ac:dyDescent="0.25">
      <c r="A52" s="395"/>
      <c r="B52" s="392"/>
      <c r="C52" s="392"/>
      <c r="D52" s="392"/>
      <c r="E52" s="392"/>
      <c r="F52" s="205"/>
      <c r="G52" s="99"/>
      <c r="H52" s="388"/>
      <c r="I52" s="99"/>
      <c r="J52" s="77"/>
      <c r="K52" s="77"/>
      <c r="L52" s="77"/>
      <c r="M52" s="77"/>
      <c r="N52" s="77"/>
      <c r="O52" s="77"/>
    </row>
    <row r="53" spans="1:15" ht="15" x14ac:dyDescent="0.25">
      <c r="A53" s="391"/>
      <c r="B53" s="392"/>
      <c r="C53" s="392"/>
      <c r="D53" s="392"/>
      <c r="E53" s="392"/>
      <c r="F53" s="205"/>
      <c r="G53" s="99"/>
      <c r="H53" s="388"/>
      <c r="I53" s="99"/>
      <c r="J53" s="77"/>
      <c r="K53" s="77"/>
      <c r="L53" s="77"/>
      <c r="M53" s="77"/>
      <c r="N53" s="77"/>
      <c r="O53" s="77"/>
    </row>
    <row r="54" spans="1:15" ht="15" x14ac:dyDescent="0.25">
      <c r="A54" s="395"/>
      <c r="B54" s="392"/>
      <c r="C54" s="392"/>
      <c r="D54" s="392"/>
      <c r="E54" s="392"/>
      <c r="F54" s="205"/>
      <c r="G54" s="99"/>
      <c r="H54" s="388"/>
      <c r="I54" s="99"/>
      <c r="J54" s="77"/>
      <c r="K54" s="77"/>
      <c r="L54" s="77"/>
      <c r="M54" s="77"/>
      <c r="N54" s="77"/>
      <c r="O54" s="77"/>
    </row>
    <row r="55" spans="1:15" ht="15" x14ac:dyDescent="0.25">
      <c r="A55" s="391"/>
      <c r="B55" s="392"/>
      <c r="C55" s="392"/>
      <c r="D55" s="392"/>
      <c r="E55" s="392"/>
      <c r="F55" s="205"/>
      <c r="G55" s="99"/>
      <c r="H55" s="388"/>
      <c r="I55" s="99"/>
      <c r="J55" s="77"/>
      <c r="K55" s="77"/>
      <c r="L55" s="77"/>
      <c r="M55" s="77"/>
      <c r="N55" s="77"/>
      <c r="O55" s="77"/>
    </row>
    <row r="56" spans="1:15" ht="15" x14ac:dyDescent="0.25">
      <c r="A56" s="391"/>
      <c r="B56" s="392"/>
      <c r="C56" s="392"/>
      <c r="D56" s="392"/>
      <c r="E56" s="392"/>
      <c r="F56" s="205"/>
      <c r="G56" s="99"/>
      <c r="H56" s="388"/>
      <c r="I56" s="99"/>
      <c r="J56" s="77"/>
      <c r="K56" s="77"/>
      <c r="L56" s="77"/>
      <c r="M56" s="77"/>
      <c r="N56" s="77"/>
      <c r="O56" s="77"/>
    </row>
    <row r="57" spans="1:15" ht="16.8" x14ac:dyDescent="0.4">
      <c r="A57" s="391"/>
      <c r="B57" s="393"/>
      <c r="C57" s="393"/>
      <c r="D57" s="393"/>
      <c r="E57" s="393"/>
      <c r="F57" s="207"/>
      <c r="G57" s="99"/>
      <c r="H57" s="389"/>
      <c r="I57" s="99"/>
      <c r="J57" s="77"/>
      <c r="K57" s="77"/>
      <c r="L57" s="77"/>
      <c r="M57" s="77"/>
      <c r="N57" s="77"/>
      <c r="O57" s="77"/>
    </row>
    <row r="58" spans="1:15" ht="16.8" x14ac:dyDescent="0.4">
      <c r="A58" s="391"/>
      <c r="B58" s="394"/>
      <c r="C58" s="394"/>
      <c r="D58" s="394"/>
      <c r="E58" s="394"/>
      <c r="F58" s="210"/>
      <c r="G58" s="99"/>
      <c r="H58" s="390"/>
      <c r="I58" s="99"/>
      <c r="J58" s="77"/>
      <c r="K58" s="77"/>
      <c r="L58" s="77"/>
      <c r="M58" s="77"/>
      <c r="N58" s="77"/>
      <c r="O58" s="77"/>
    </row>
    <row r="59" spans="1:15" ht="15" x14ac:dyDescent="0.25">
      <c r="A59" s="391"/>
      <c r="B59" s="391"/>
      <c r="C59" s="391"/>
      <c r="D59" s="391"/>
      <c r="E59" s="391"/>
      <c r="F59" s="391"/>
      <c r="G59" s="99"/>
      <c r="H59" s="388"/>
      <c r="I59" s="99"/>
      <c r="J59" s="77"/>
      <c r="K59" s="77"/>
      <c r="L59" s="77"/>
      <c r="M59" s="77"/>
      <c r="N59" s="77"/>
      <c r="O59" s="77"/>
    </row>
    <row r="60" spans="1:15" ht="15" x14ac:dyDescent="0.25">
      <c r="A60" s="99"/>
      <c r="B60" s="99"/>
      <c r="C60" s="99"/>
      <c r="D60" s="99"/>
      <c r="E60" s="99"/>
      <c r="F60" s="99"/>
      <c r="G60" s="99"/>
      <c r="H60" s="388"/>
      <c r="I60" s="99"/>
      <c r="J60" s="77"/>
      <c r="K60" s="77"/>
      <c r="L60" s="77"/>
      <c r="M60" s="77"/>
      <c r="N60" s="77"/>
      <c r="O60" s="77"/>
    </row>
    <row r="61" spans="1:15" ht="15" x14ac:dyDescent="0.25">
      <c r="A61" s="99"/>
      <c r="B61" s="99"/>
      <c r="C61" s="99"/>
      <c r="D61" s="99"/>
      <c r="E61" s="99"/>
      <c r="F61" s="99"/>
      <c r="G61" s="99"/>
      <c r="H61" s="388"/>
      <c r="I61" s="99"/>
      <c r="J61" s="77"/>
      <c r="K61" s="77"/>
      <c r="L61" s="77"/>
      <c r="M61" s="77"/>
      <c r="N61" s="77"/>
      <c r="O61" s="77"/>
    </row>
    <row r="62" spans="1:15" ht="15" x14ac:dyDescent="0.25">
      <c r="A62" s="99"/>
      <c r="B62" s="99"/>
      <c r="C62" s="99"/>
      <c r="D62" s="99"/>
      <c r="E62" s="99"/>
      <c r="F62" s="99"/>
      <c r="G62" s="99"/>
      <c r="H62" s="388"/>
      <c r="I62" s="99"/>
      <c r="J62" s="77"/>
      <c r="K62" s="77"/>
      <c r="L62" s="77"/>
      <c r="M62" s="77"/>
      <c r="N62" s="77"/>
      <c r="O62" s="77"/>
    </row>
    <row r="63" spans="1:15" ht="15" x14ac:dyDescent="0.25">
      <c r="A63" s="99"/>
      <c r="B63" s="99"/>
      <c r="C63" s="99"/>
      <c r="D63" s="99"/>
      <c r="E63" s="99"/>
      <c r="F63" s="99"/>
      <c r="G63" s="99"/>
      <c r="H63" s="388"/>
      <c r="I63" s="99"/>
      <c r="J63" s="77"/>
      <c r="K63" s="77"/>
      <c r="L63" s="77"/>
      <c r="M63" s="77"/>
      <c r="N63" s="77"/>
      <c r="O63" s="77"/>
    </row>
    <row r="64" spans="1:15" ht="15" x14ac:dyDescent="0.25">
      <c r="A64" s="99"/>
      <c r="B64" s="99"/>
      <c r="C64" s="99"/>
      <c r="D64" s="99"/>
      <c r="E64" s="99"/>
      <c r="F64" s="99"/>
      <c r="G64" s="99"/>
      <c r="H64" s="388"/>
      <c r="I64" s="99"/>
      <c r="J64" s="77"/>
      <c r="K64" s="77"/>
      <c r="L64" s="77"/>
      <c r="M64" s="77"/>
      <c r="N64" s="77"/>
      <c r="O64" s="77"/>
    </row>
    <row r="65" spans="1:15" ht="15" x14ac:dyDescent="0.25">
      <c r="A65" s="99"/>
      <c r="B65" s="99"/>
      <c r="C65" s="99"/>
      <c r="D65" s="99"/>
      <c r="E65" s="99"/>
      <c r="F65" s="99"/>
      <c r="G65" s="99"/>
      <c r="H65" s="388"/>
      <c r="I65" s="99"/>
      <c r="J65" s="77"/>
      <c r="K65" s="77"/>
      <c r="L65" s="77"/>
      <c r="M65" s="77"/>
      <c r="N65" s="77"/>
      <c r="O65" s="77"/>
    </row>
    <row r="66" spans="1:15" ht="15" x14ac:dyDescent="0.25">
      <c r="A66" s="99"/>
      <c r="B66" s="99"/>
      <c r="C66" s="99"/>
      <c r="D66" s="99"/>
      <c r="E66" s="99"/>
      <c r="F66" s="99"/>
      <c r="G66" s="99"/>
      <c r="H66" s="388"/>
      <c r="I66" s="99"/>
      <c r="J66" s="77"/>
      <c r="K66" s="77"/>
      <c r="L66" s="77"/>
      <c r="M66" s="77"/>
      <c r="N66" s="77"/>
      <c r="O66" s="77"/>
    </row>
    <row r="67" spans="1:15" ht="15" x14ac:dyDescent="0.25">
      <c r="A67" s="99"/>
      <c r="B67" s="99"/>
      <c r="C67" s="99"/>
      <c r="D67" s="99"/>
      <c r="E67" s="99"/>
      <c r="F67" s="99"/>
      <c r="G67" s="99"/>
      <c r="H67" s="388"/>
      <c r="I67" s="99"/>
      <c r="J67" s="77"/>
      <c r="K67" s="77"/>
      <c r="L67" s="77"/>
      <c r="M67" s="77"/>
      <c r="N67" s="77"/>
      <c r="O67" s="77"/>
    </row>
    <row r="68" spans="1:15" ht="15" x14ac:dyDescent="0.25">
      <c r="A68" s="99"/>
      <c r="B68" s="99"/>
      <c r="C68" s="99"/>
      <c r="D68" s="99"/>
      <c r="E68" s="99"/>
      <c r="F68" s="99"/>
      <c r="G68" s="99"/>
      <c r="H68" s="388"/>
      <c r="I68" s="99"/>
      <c r="J68" s="77"/>
      <c r="K68" s="77"/>
      <c r="L68" s="77"/>
      <c r="M68" s="77"/>
      <c r="N68" s="77"/>
      <c r="O68" s="77"/>
    </row>
    <row r="69" spans="1:15" ht="15" x14ac:dyDescent="0.25">
      <c r="A69" s="99"/>
      <c r="B69" s="99"/>
      <c r="C69" s="99"/>
      <c r="D69" s="99"/>
      <c r="E69" s="99"/>
      <c r="F69" s="99"/>
      <c r="G69" s="99"/>
      <c r="H69" s="388"/>
      <c r="I69" s="99"/>
      <c r="J69" s="77"/>
      <c r="K69" s="77"/>
      <c r="L69" s="77"/>
      <c r="M69" s="77"/>
      <c r="N69" s="77"/>
      <c r="O69" s="77"/>
    </row>
    <row r="70" spans="1:15" ht="15" x14ac:dyDescent="0.25">
      <c r="A70" s="99"/>
      <c r="B70" s="99"/>
      <c r="C70" s="99"/>
      <c r="D70" s="99"/>
      <c r="E70" s="99"/>
      <c r="F70" s="99"/>
      <c r="G70" s="99"/>
      <c r="H70" s="388"/>
      <c r="I70" s="99"/>
      <c r="J70" s="77"/>
      <c r="K70" s="77"/>
      <c r="L70" s="77"/>
      <c r="M70" s="77"/>
      <c r="N70" s="77"/>
      <c r="O70" s="77"/>
    </row>
    <row r="71" spans="1:15" ht="15" x14ac:dyDescent="0.25">
      <c r="A71" s="99"/>
      <c r="B71" s="99"/>
      <c r="C71" s="99"/>
      <c r="D71" s="99"/>
      <c r="E71" s="99"/>
      <c r="F71" s="99"/>
      <c r="G71" s="99"/>
      <c r="H71" s="388"/>
      <c r="I71" s="99"/>
      <c r="J71" s="77"/>
      <c r="K71" s="77"/>
      <c r="L71" s="77"/>
      <c r="M71" s="77"/>
      <c r="N71" s="77"/>
      <c r="O71" s="77"/>
    </row>
    <row r="72" spans="1:15" ht="15" x14ac:dyDescent="0.25">
      <c r="A72" s="99"/>
      <c r="B72" s="99"/>
      <c r="C72" s="99"/>
      <c r="D72" s="99"/>
      <c r="E72" s="99"/>
      <c r="F72" s="99"/>
      <c r="G72" s="99"/>
      <c r="H72" s="388"/>
      <c r="I72" s="99"/>
      <c r="J72" s="77"/>
      <c r="K72" s="77"/>
      <c r="L72" s="77"/>
      <c r="M72" s="77"/>
      <c r="N72" s="77"/>
      <c r="O72" s="77"/>
    </row>
    <row r="73" spans="1:15" ht="15" x14ac:dyDescent="0.25">
      <c r="A73" s="99"/>
      <c r="B73" s="99"/>
      <c r="C73" s="99"/>
      <c r="D73" s="99"/>
      <c r="E73" s="99"/>
      <c r="F73" s="99"/>
      <c r="G73" s="99"/>
      <c r="H73" s="388"/>
      <c r="I73" s="99"/>
      <c r="J73" s="77"/>
      <c r="K73" s="77"/>
      <c r="L73" s="77"/>
      <c r="M73" s="77"/>
      <c r="N73" s="77"/>
      <c r="O73" s="77"/>
    </row>
    <row r="74" spans="1:15" ht="15" x14ac:dyDescent="0.25">
      <c r="A74" s="99"/>
      <c r="B74" s="99"/>
      <c r="C74" s="99"/>
      <c r="D74" s="99"/>
      <c r="E74" s="99"/>
      <c r="F74" s="99"/>
      <c r="G74" s="99"/>
      <c r="H74" s="388"/>
      <c r="I74" s="99"/>
      <c r="J74" s="77"/>
      <c r="K74" s="77"/>
      <c r="L74" s="77"/>
      <c r="M74" s="77"/>
      <c r="N74" s="77"/>
      <c r="O74" s="77"/>
    </row>
    <row r="75" spans="1:15" ht="15" x14ac:dyDescent="0.25">
      <c r="A75" s="99"/>
      <c r="B75" s="99"/>
      <c r="C75" s="99"/>
      <c r="D75" s="99"/>
      <c r="E75" s="99"/>
      <c r="F75" s="99"/>
      <c r="G75" s="99"/>
      <c r="H75" s="388"/>
      <c r="I75" s="99"/>
      <c r="J75" s="77"/>
      <c r="K75" s="77"/>
      <c r="L75" s="77"/>
      <c r="M75" s="77"/>
      <c r="N75" s="77"/>
      <c r="O75" s="77"/>
    </row>
    <row r="76" spans="1:15" ht="15" x14ac:dyDescent="0.25">
      <c r="A76" s="99"/>
      <c r="B76" s="99"/>
      <c r="C76" s="99"/>
      <c r="D76" s="99"/>
      <c r="E76" s="99"/>
      <c r="F76" s="99"/>
      <c r="G76" s="99"/>
      <c r="H76" s="388"/>
      <c r="I76" s="99"/>
      <c r="J76" s="77"/>
      <c r="K76" s="77"/>
      <c r="L76" s="77"/>
      <c r="M76" s="77"/>
      <c r="N76" s="77"/>
      <c r="O76" s="77"/>
    </row>
    <row r="77" spans="1:15" ht="15" x14ac:dyDescent="0.25">
      <c r="A77" s="99"/>
      <c r="B77" s="99"/>
      <c r="C77" s="99"/>
      <c r="D77" s="99"/>
      <c r="E77" s="99"/>
      <c r="F77" s="99"/>
      <c r="G77" s="99"/>
      <c r="H77" s="388"/>
      <c r="I77" s="99"/>
      <c r="J77" s="77"/>
      <c r="K77" s="77"/>
      <c r="L77" s="77"/>
      <c r="M77" s="77"/>
      <c r="N77" s="77"/>
      <c r="O77" s="77"/>
    </row>
    <row r="78" spans="1:15" ht="15" x14ac:dyDescent="0.25">
      <c r="A78" s="99"/>
      <c r="B78" s="99"/>
      <c r="C78" s="99"/>
      <c r="D78" s="99"/>
      <c r="E78" s="99"/>
      <c r="F78" s="99"/>
      <c r="G78" s="99"/>
      <c r="H78" s="388"/>
      <c r="I78" s="99"/>
      <c r="J78" s="77"/>
      <c r="K78" s="77"/>
      <c r="L78" s="77"/>
      <c r="M78" s="77"/>
      <c r="N78" s="77"/>
      <c r="O78" s="77"/>
    </row>
    <row r="79" spans="1:15" ht="15" x14ac:dyDescent="0.25">
      <c r="A79" s="99"/>
      <c r="B79" s="99"/>
      <c r="C79" s="99"/>
      <c r="D79" s="99"/>
      <c r="E79" s="99"/>
      <c r="F79" s="99"/>
      <c r="G79" s="99"/>
      <c r="H79" s="388"/>
      <c r="I79" s="99"/>
      <c r="J79" s="77"/>
      <c r="K79" s="77"/>
      <c r="L79" s="77"/>
      <c r="M79" s="77"/>
      <c r="N79" s="77"/>
      <c r="O79" s="77"/>
    </row>
    <row r="80" spans="1:15" ht="15" x14ac:dyDescent="0.25">
      <c r="A80" s="99"/>
      <c r="B80" s="99"/>
      <c r="C80" s="99"/>
      <c r="D80" s="99"/>
      <c r="E80" s="99"/>
      <c r="F80" s="99"/>
      <c r="G80" s="99"/>
      <c r="H80" s="388"/>
      <c r="I80" s="99"/>
      <c r="J80" s="77"/>
      <c r="K80" s="77"/>
      <c r="L80" s="77"/>
      <c r="M80" s="77"/>
      <c r="N80" s="77"/>
      <c r="O80" s="77"/>
    </row>
    <row r="81" spans="1:15" ht="15" x14ac:dyDescent="0.25">
      <c r="A81" s="99"/>
      <c r="B81" s="99"/>
      <c r="C81" s="99"/>
      <c r="D81" s="99"/>
      <c r="E81" s="99"/>
      <c r="F81" s="99"/>
      <c r="G81" s="99"/>
      <c r="H81" s="388"/>
      <c r="I81" s="99"/>
      <c r="J81" s="77"/>
      <c r="K81" s="77"/>
      <c r="L81" s="77"/>
      <c r="M81" s="77"/>
      <c r="N81" s="77"/>
      <c r="O81" s="77"/>
    </row>
    <row r="82" spans="1:15" ht="15" x14ac:dyDescent="0.25">
      <c r="A82" s="99"/>
      <c r="B82" s="99"/>
      <c r="C82" s="99"/>
      <c r="D82" s="99"/>
      <c r="E82" s="99"/>
      <c r="F82" s="99"/>
      <c r="G82" s="99"/>
      <c r="H82" s="388"/>
      <c r="I82" s="99"/>
      <c r="J82" s="77"/>
      <c r="K82" s="77"/>
      <c r="L82" s="77"/>
      <c r="M82" s="77"/>
      <c r="N82" s="77"/>
      <c r="O82" s="77"/>
    </row>
    <row r="83" spans="1:15" ht="15" x14ac:dyDescent="0.25">
      <c r="A83" s="99"/>
      <c r="B83" s="99"/>
      <c r="C83" s="99"/>
      <c r="D83" s="99"/>
      <c r="E83" s="99"/>
      <c r="F83" s="99"/>
      <c r="G83" s="99"/>
      <c r="H83" s="388"/>
      <c r="I83" s="99"/>
      <c r="J83" s="77"/>
      <c r="K83" s="77"/>
      <c r="L83" s="77"/>
      <c r="M83" s="77"/>
      <c r="N83" s="77"/>
      <c r="O83" s="77"/>
    </row>
    <row r="84" spans="1:15" ht="15" x14ac:dyDescent="0.25">
      <c r="A84" s="99"/>
      <c r="B84" s="99"/>
      <c r="C84" s="99"/>
      <c r="D84" s="99"/>
      <c r="E84" s="99"/>
      <c r="F84" s="99"/>
      <c r="G84" s="99"/>
      <c r="H84" s="388"/>
      <c r="I84" s="99"/>
      <c r="J84" s="77"/>
      <c r="K84" s="77"/>
      <c r="L84" s="77"/>
      <c r="M84" s="77"/>
      <c r="N84" s="77"/>
      <c r="O84" s="77"/>
    </row>
    <row r="85" spans="1:15" ht="15" x14ac:dyDescent="0.25">
      <c r="A85" s="99"/>
      <c r="B85" s="99"/>
      <c r="C85" s="99"/>
      <c r="D85" s="99"/>
      <c r="E85" s="99"/>
      <c r="F85" s="99"/>
      <c r="G85" s="99"/>
      <c r="H85" s="388"/>
      <c r="I85" s="99"/>
      <c r="J85" s="77"/>
      <c r="K85" s="77"/>
      <c r="L85" s="77"/>
      <c r="M85" s="77"/>
      <c r="N85" s="77"/>
      <c r="O85" s="77"/>
    </row>
    <row r="86" spans="1:15" ht="15" x14ac:dyDescent="0.25">
      <c r="A86" s="99"/>
      <c r="B86" s="99"/>
      <c r="C86" s="99"/>
      <c r="D86" s="99"/>
      <c r="E86" s="99"/>
      <c r="F86" s="99"/>
      <c r="G86" s="99"/>
      <c r="H86" s="388"/>
      <c r="I86" s="99"/>
      <c r="J86" s="77"/>
      <c r="K86" s="77"/>
      <c r="L86" s="77"/>
      <c r="M86" s="77"/>
      <c r="N86" s="77"/>
      <c r="O86" s="77"/>
    </row>
    <row r="87" spans="1:15" ht="15" x14ac:dyDescent="0.25">
      <c r="A87" s="99"/>
      <c r="B87" s="99"/>
      <c r="C87" s="99"/>
      <c r="D87" s="99"/>
      <c r="E87" s="99"/>
      <c r="F87" s="99"/>
      <c r="G87" s="99"/>
      <c r="H87" s="388"/>
      <c r="I87" s="99"/>
      <c r="J87" s="77"/>
      <c r="K87" s="77"/>
      <c r="L87" s="77"/>
      <c r="M87" s="77"/>
      <c r="N87" s="77"/>
      <c r="O87" s="77"/>
    </row>
    <row r="88" spans="1:15" ht="15" x14ac:dyDescent="0.25">
      <c r="A88" s="99"/>
      <c r="B88" s="99"/>
      <c r="C88" s="99"/>
      <c r="D88" s="99"/>
      <c r="E88" s="99"/>
      <c r="F88" s="99"/>
      <c r="G88" s="99"/>
      <c r="H88" s="388"/>
      <c r="I88" s="99"/>
      <c r="J88" s="77"/>
      <c r="K88" s="77"/>
      <c r="L88" s="77"/>
      <c r="M88" s="77"/>
      <c r="N88" s="77"/>
      <c r="O88" s="77"/>
    </row>
    <row r="89" spans="1:15" ht="15" x14ac:dyDescent="0.25">
      <c r="A89" s="99"/>
      <c r="B89" s="99"/>
      <c r="C89" s="99"/>
      <c r="D89" s="99"/>
      <c r="E89" s="99"/>
      <c r="F89" s="99"/>
      <c r="G89" s="99"/>
      <c r="H89" s="388"/>
      <c r="I89" s="99"/>
      <c r="J89" s="77"/>
      <c r="K89" s="77"/>
      <c r="L89" s="77"/>
      <c r="M89" s="77"/>
      <c r="N89" s="77"/>
      <c r="O89" s="77"/>
    </row>
    <row r="90" spans="1:15" ht="15" x14ac:dyDescent="0.25">
      <c r="A90" s="99"/>
      <c r="B90" s="99"/>
      <c r="C90" s="99"/>
      <c r="D90" s="99"/>
      <c r="E90" s="99"/>
      <c r="F90" s="99"/>
      <c r="G90" s="99"/>
      <c r="H90" s="388"/>
      <c r="I90" s="99"/>
      <c r="J90" s="77"/>
      <c r="K90" s="77"/>
      <c r="L90" s="77"/>
      <c r="M90" s="77"/>
      <c r="N90" s="77"/>
      <c r="O90" s="77"/>
    </row>
    <row r="91" spans="1:15" ht="15" x14ac:dyDescent="0.25">
      <c r="A91" s="99"/>
      <c r="B91" s="99"/>
      <c r="C91" s="99"/>
      <c r="D91" s="99"/>
      <c r="E91" s="99"/>
      <c r="F91" s="99"/>
      <c r="G91" s="99"/>
      <c r="H91" s="388"/>
      <c r="I91" s="99"/>
      <c r="J91" s="77"/>
      <c r="K91" s="77"/>
      <c r="L91" s="77"/>
      <c r="M91" s="77"/>
      <c r="N91" s="77"/>
      <c r="O91" s="77"/>
    </row>
    <row r="92" spans="1:15" ht="15" x14ac:dyDescent="0.25">
      <c r="A92" s="99"/>
      <c r="B92" s="99"/>
      <c r="C92" s="99"/>
      <c r="D92" s="99"/>
      <c r="E92" s="99"/>
      <c r="F92" s="99"/>
      <c r="G92" s="99"/>
      <c r="H92" s="388"/>
      <c r="I92" s="99"/>
      <c r="J92" s="77"/>
      <c r="K92" s="77"/>
      <c r="L92" s="77"/>
      <c r="M92" s="77"/>
      <c r="N92" s="77"/>
      <c r="O92" s="77"/>
    </row>
    <row r="93" spans="1:15" ht="15" x14ac:dyDescent="0.25">
      <c r="A93" s="99"/>
      <c r="B93" s="99"/>
      <c r="C93" s="99"/>
      <c r="D93" s="99"/>
      <c r="E93" s="99"/>
      <c r="F93" s="99"/>
      <c r="G93" s="99"/>
      <c r="H93" s="388"/>
      <c r="I93" s="99"/>
      <c r="J93" s="77"/>
      <c r="K93" s="77"/>
      <c r="L93" s="77"/>
      <c r="M93" s="77"/>
      <c r="N93" s="77"/>
      <c r="O93" s="77"/>
    </row>
    <row r="94" spans="1:15" ht="15" x14ac:dyDescent="0.25">
      <c r="A94" s="99"/>
      <c r="B94" s="99"/>
      <c r="C94" s="99"/>
      <c r="D94" s="99"/>
      <c r="E94" s="99"/>
      <c r="F94" s="99"/>
      <c r="G94" s="99"/>
      <c r="H94" s="388"/>
      <c r="I94" s="99"/>
      <c r="J94" s="77"/>
      <c r="K94" s="77"/>
      <c r="L94" s="77"/>
      <c r="M94" s="77"/>
      <c r="N94" s="77"/>
      <c r="O94" s="77"/>
    </row>
    <row r="95" spans="1:15" ht="15" x14ac:dyDescent="0.25">
      <c r="A95" s="99"/>
      <c r="B95" s="99"/>
      <c r="C95" s="99"/>
      <c r="D95" s="99"/>
      <c r="E95" s="99"/>
      <c r="F95" s="99"/>
      <c r="G95" s="99"/>
      <c r="H95" s="388"/>
      <c r="I95" s="99"/>
      <c r="J95" s="77"/>
      <c r="K95" s="77"/>
      <c r="L95" s="77"/>
      <c r="M95" s="77"/>
      <c r="N95" s="77"/>
      <c r="O95" s="77"/>
    </row>
    <row r="96" spans="1:15" ht="15" x14ac:dyDescent="0.25">
      <c r="A96" s="99"/>
      <c r="B96" s="99"/>
      <c r="C96" s="99"/>
      <c r="D96" s="99"/>
      <c r="E96" s="99"/>
      <c r="F96" s="99"/>
      <c r="G96" s="99"/>
      <c r="H96" s="388"/>
      <c r="I96" s="99"/>
      <c r="J96" s="77"/>
      <c r="K96" s="77"/>
      <c r="L96" s="77"/>
      <c r="M96" s="77"/>
      <c r="N96" s="77"/>
      <c r="O96" s="77"/>
    </row>
    <row r="97" spans="1:15" ht="15" x14ac:dyDescent="0.25">
      <c r="A97" s="99"/>
      <c r="B97" s="99"/>
      <c r="C97" s="99"/>
      <c r="D97" s="99"/>
      <c r="E97" s="99"/>
      <c r="F97" s="99"/>
      <c r="G97" s="99"/>
      <c r="H97" s="388"/>
      <c r="I97" s="99"/>
      <c r="J97" s="77"/>
      <c r="K97" s="77"/>
      <c r="L97" s="77"/>
      <c r="M97" s="77"/>
      <c r="N97" s="77"/>
      <c r="O97" s="77"/>
    </row>
    <row r="98" spans="1:15" ht="15" x14ac:dyDescent="0.25">
      <c r="A98" s="99"/>
      <c r="B98" s="99"/>
      <c r="C98" s="99"/>
      <c r="D98" s="99"/>
      <c r="E98" s="99"/>
      <c r="F98" s="99"/>
      <c r="G98" s="99"/>
      <c r="H98" s="388"/>
      <c r="I98" s="99"/>
      <c r="J98" s="77"/>
      <c r="K98" s="77"/>
      <c r="L98" s="77"/>
      <c r="M98" s="77"/>
      <c r="N98" s="77"/>
      <c r="O98" s="77"/>
    </row>
    <row r="99" spans="1:15" ht="15" x14ac:dyDescent="0.25">
      <c r="A99" s="99"/>
      <c r="B99" s="99"/>
      <c r="C99" s="99"/>
      <c r="D99" s="99"/>
      <c r="E99" s="99"/>
      <c r="F99" s="99"/>
      <c r="G99" s="99"/>
      <c r="H99" s="388"/>
      <c r="I99" s="99"/>
      <c r="J99" s="77"/>
      <c r="K99" s="77"/>
      <c r="L99" s="77"/>
      <c r="M99" s="77"/>
      <c r="N99" s="77"/>
      <c r="O99" s="77"/>
    </row>
    <row r="100" spans="1:15" ht="15.6" thickBot="1" x14ac:dyDescent="0.3">
      <c r="A100" s="99"/>
      <c r="B100" s="99"/>
      <c r="C100" s="99"/>
      <c r="D100" s="99"/>
      <c r="E100" s="99"/>
      <c r="F100" s="99"/>
      <c r="G100" s="99"/>
      <c r="H100" s="388"/>
      <c r="I100" s="99"/>
      <c r="J100" s="77"/>
      <c r="K100" s="77"/>
      <c r="L100" s="77"/>
      <c r="M100" s="77"/>
      <c r="N100" s="77"/>
      <c r="O100" s="77"/>
    </row>
    <row r="101" spans="1:15" ht="15" x14ac:dyDescent="0.25">
      <c r="A101" s="894" t="s">
        <v>195</v>
      </c>
      <c r="B101" s="895"/>
      <c r="C101" s="895"/>
      <c r="D101" s="895"/>
      <c r="E101" s="895"/>
      <c r="F101" s="896"/>
      <c r="G101" s="99"/>
      <c r="H101" s="388"/>
      <c r="I101" s="99"/>
      <c r="J101" s="77"/>
      <c r="K101" s="77"/>
      <c r="L101" s="77"/>
      <c r="M101" s="77"/>
      <c r="N101" s="77"/>
      <c r="O101" s="77"/>
    </row>
    <row r="102" spans="1:15" ht="15.6" thickBot="1" x14ac:dyDescent="0.3">
      <c r="A102" s="897"/>
      <c r="B102" s="898"/>
      <c r="C102" s="898"/>
      <c r="D102" s="898"/>
      <c r="E102" s="898"/>
      <c r="F102" s="899"/>
      <c r="G102" s="99"/>
      <c r="H102" s="388"/>
      <c r="I102" s="99"/>
      <c r="J102" s="77"/>
      <c r="K102" s="77"/>
      <c r="L102" s="77"/>
      <c r="M102" s="77"/>
      <c r="N102" s="77"/>
      <c r="O102" s="77"/>
    </row>
    <row r="103" spans="1:15" ht="15" x14ac:dyDescent="0.25">
      <c r="A103" s="162" t="s">
        <v>5</v>
      </c>
      <c r="B103" s="161" t="s">
        <v>6</v>
      </c>
      <c r="C103" s="161" t="s">
        <v>13</v>
      </c>
      <c r="D103" s="161" t="s">
        <v>82</v>
      </c>
      <c r="E103" s="161" t="s">
        <v>115</v>
      </c>
      <c r="F103" s="163" t="s">
        <v>116</v>
      </c>
      <c r="G103" s="99"/>
      <c r="H103" s="388"/>
      <c r="I103" s="99"/>
      <c r="J103" s="77"/>
      <c r="K103" s="77"/>
      <c r="L103" s="77"/>
      <c r="M103" s="77"/>
      <c r="N103" s="77"/>
      <c r="O103" s="77"/>
    </row>
    <row r="104" spans="1:15" ht="15" x14ac:dyDescent="0.25">
      <c r="A104" s="396" t="s">
        <v>239</v>
      </c>
      <c r="B104" s="106"/>
      <c r="C104" s="106"/>
      <c r="D104" s="106"/>
      <c r="E104" s="106"/>
      <c r="F104" s="107"/>
      <c r="G104" s="99"/>
      <c r="H104" s="388"/>
      <c r="I104" s="99"/>
      <c r="J104" s="77"/>
      <c r="K104" s="77"/>
      <c r="L104" s="77"/>
      <c r="M104" s="77"/>
      <c r="N104" s="77"/>
      <c r="O104" s="77"/>
    </row>
    <row r="105" spans="1:15" ht="30" x14ac:dyDescent="0.25">
      <c r="A105" s="396" t="s">
        <v>91</v>
      </c>
      <c r="B105" s="106" t="s">
        <v>190</v>
      </c>
      <c r="C105" s="106" t="s">
        <v>18</v>
      </c>
      <c r="D105" s="106" t="s">
        <v>8</v>
      </c>
      <c r="E105" s="106" t="s">
        <v>36</v>
      </c>
      <c r="F105" s="107" t="s">
        <v>29</v>
      </c>
      <c r="G105" s="99"/>
      <c r="H105" s="388"/>
      <c r="I105" s="99"/>
      <c r="J105" s="77"/>
      <c r="K105" s="77"/>
      <c r="L105" s="77"/>
      <c r="M105" s="77"/>
      <c r="N105" s="77"/>
      <c r="O105" s="77"/>
    </row>
    <row r="106" spans="1:15" ht="30" x14ac:dyDescent="0.25">
      <c r="A106" s="397" t="s">
        <v>27</v>
      </c>
      <c r="B106" s="106" t="s">
        <v>192</v>
      </c>
      <c r="C106" s="106" t="s">
        <v>15</v>
      </c>
      <c r="D106" s="106" t="s">
        <v>84</v>
      </c>
      <c r="E106" s="106" t="s">
        <v>35</v>
      </c>
      <c r="F106" s="107" t="s">
        <v>28</v>
      </c>
      <c r="G106" s="99"/>
      <c r="H106" s="388"/>
      <c r="I106" s="99"/>
      <c r="J106" s="77"/>
      <c r="K106" s="77"/>
      <c r="L106" s="77"/>
      <c r="M106" s="77"/>
      <c r="N106" s="77"/>
      <c r="O106" s="77"/>
    </row>
    <row r="107" spans="1:15" ht="30" x14ac:dyDescent="0.25">
      <c r="A107" s="397" t="s">
        <v>125</v>
      </c>
      <c r="B107" s="106" t="s">
        <v>191</v>
      </c>
      <c r="C107" s="106" t="s">
        <v>16</v>
      </c>
      <c r="D107" s="106"/>
      <c r="E107" s="106" t="s">
        <v>46</v>
      </c>
      <c r="F107" s="107" t="s">
        <v>34</v>
      </c>
      <c r="G107" s="99"/>
      <c r="H107" s="388"/>
      <c r="I107" s="99"/>
      <c r="J107" s="77"/>
      <c r="K107" s="77"/>
      <c r="L107" s="77"/>
      <c r="M107" s="77"/>
      <c r="N107" s="77"/>
      <c r="O107" s="77"/>
    </row>
    <row r="108" spans="1:15" ht="15" x14ac:dyDescent="0.25">
      <c r="A108" s="396" t="s">
        <v>128</v>
      </c>
      <c r="B108" s="106" t="s">
        <v>193</v>
      </c>
      <c r="C108" s="106" t="s">
        <v>20</v>
      </c>
      <c r="D108" s="106"/>
      <c r="E108" s="106" t="s">
        <v>44</v>
      </c>
      <c r="F108" s="107" t="s">
        <v>142</v>
      </c>
      <c r="G108" s="99"/>
      <c r="H108" s="388"/>
      <c r="I108" s="99"/>
      <c r="J108" s="77"/>
      <c r="K108" s="77"/>
      <c r="L108" s="77"/>
      <c r="M108" s="77"/>
      <c r="N108" s="77"/>
      <c r="O108" s="77"/>
    </row>
    <row r="109" spans="1:15" ht="15" x14ac:dyDescent="0.25">
      <c r="A109" s="397" t="s">
        <v>326</v>
      </c>
      <c r="B109" s="106"/>
      <c r="C109" s="106" t="s">
        <v>19</v>
      </c>
      <c r="D109" s="106"/>
      <c r="E109" s="106" t="s">
        <v>37</v>
      </c>
      <c r="F109" s="107" t="s">
        <v>30</v>
      </c>
      <c r="G109" s="99"/>
      <c r="H109" s="388"/>
      <c r="I109" s="99"/>
      <c r="J109" s="77"/>
      <c r="K109" s="77"/>
      <c r="L109" s="77"/>
      <c r="M109" s="77"/>
      <c r="N109" s="77"/>
      <c r="O109" s="77"/>
    </row>
    <row r="110" spans="1:15" ht="30" x14ac:dyDescent="0.25">
      <c r="A110" s="396" t="s">
        <v>308</v>
      </c>
      <c r="B110" s="106"/>
      <c r="C110" s="106" t="s">
        <v>21</v>
      </c>
      <c r="D110" s="106"/>
      <c r="E110" s="106" t="s">
        <v>117</v>
      </c>
      <c r="F110" s="107" t="s">
        <v>121</v>
      </c>
      <c r="G110" s="99"/>
      <c r="H110" s="388"/>
      <c r="I110" s="99"/>
      <c r="J110" s="77"/>
      <c r="K110" s="77"/>
      <c r="L110" s="77"/>
      <c r="M110" s="77"/>
      <c r="N110" s="77"/>
      <c r="O110" s="77"/>
    </row>
    <row r="111" spans="1:15" ht="30" x14ac:dyDescent="0.25">
      <c r="A111" s="396" t="s">
        <v>309</v>
      </c>
      <c r="B111" s="106"/>
      <c r="C111" s="106" t="s">
        <v>14</v>
      </c>
      <c r="D111" s="106"/>
      <c r="E111" s="106" t="s">
        <v>42</v>
      </c>
      <c r="F111" s="107" t="s">
        <v>40</v>
      </c>
      <c r="G111" s="99"/>
      <c r="H111" s="388"/>
      <c r="I111" s="99"/>
      <c r="J111" s="77"/>
      <c r="K111" s="77"/>
      <c r="L111" s="77"/>
      <c r="M111" s="77"/>
      <c r="N111" s="77"/>
      <c r="O111" s="77"/>
    </row>
    <row r="112" spans="1:15" ht="30" x14ac:dyDescent="0.25">
      <c r="A112" s="396" t="s">
        <v>307</v>
      </c>
      <c r="B112" s="106"/>
      <c r="C112" s="106" t="s">
        <v>17</v>
      </c>
      <c r="D112" s="106"/>
      <c r="E112" s="106" t="s">
        <v>38</v>
      </c>
      <c r="F112" s="107" t="s">
        <v>31</v>
      </c>
      <c r="G112" s="99"/>
      <c r="H112" s="388"/>
      <c r="I112" s="99"/>
      <c r="J112" s="77"/>
      <c r="K112" s="77"/>
      <c r="L112" s="77"/>
      <c r="M112" s="77"/>
      <c r="N112" s="77"/>
      <c r="O112" s="77"/>
    </row>
    <row r="113" spans="1:15" ht="15" x14ac:dyDescent="0.25">
      <c r="A113" s="397" t="s">
        <v>4</v>
      </c>
      <c r="B113" s="106"/>
      <c r="C113" s="106"/>
      <c r="D113" s="106"/>
      <c r="E113" s="106" t="s">
        <v>41</v>
      </c>
      <c r="F113" s="107" t="s">
        <v>39</v>
      </c>
      <c r="G113" s="99"/>
      <c r="H113" s="388"/>
      <c r="I113" s="99"/>
      <c r="J113" s="77"/>
      <c r="K113" s="77"/>
      <c r="L113" s="77"/>
      <c r="M113" s="77"/>
      <c r="N113" s="77"/>
      <c r="O113" s="77"/>
    </row>
    <row r="114" spans="1:15" ht="15" x14ac:dyDescent="0.25">
      <c r="A114" s="397" t="s">
        <v>126</v>
      </c>
      <c r="B114" s="106"/>
      <c r="C114" s="106"/>
      <c r="D114" s="106"/>
      <c r="E114" s="106" t="s">
        <v>43</v>
      </c>
      <c r="F114" s="107" t="s">
        <v>120</v>
      </c>
      <c r="G114" s="99"/>
      <c r="H114" s="388"/>
      <c r="I114" s="99"/>
      <c r="J114" s="77"/>
      <c r="K114" s="77"/>
      <c r="L114" s="77"/>
      <c r="M114" s="77"/>
      <c r="N114" s="77"/>
      <c r="O114" s="77"/>
    </row>
    <row r="115" spans="1:15" x14ac:dyDescent="0.25">
      <c r="A115" s="2" t="s">
        <v>238</v>
      </c>
      <c r="B115" s="2"/>
      <c r="C115" s="2"/>
      <c r="D115" s="2"/>
      <c r="E115" s="2" t="s">
        <v>118</v>
      </c>
      <c r="F115" s="2" t="s">
        <v>122</v>
      </c>
      <c r="G115" s="2"/>
      <c r="H115" s="3"/>
      <c r="I115" s="2"/>
    </row>
    <row r="116" spans="1:15" x14ac:dyDescent="0.25">
      <c r="A116" s="2" t="s">
        <v>183</v>
      </c>
      <c r="B116" s="2"/>
      <c r="C116" s="2"/>
      <c r="D116" s="2"/>
      <c r="E116" s="2" t="s">
        <v>45</v>
      </c>
      <c r="F116" s="2" t="s">
        <v>32</v>
      </c>
      <c r="G116" s="2"/>
      <c r="H116" s="3"/>
      <c r="I116" s="2"/>
    </row>
    <row r="117" spans="1:15" ht="15" x14ac:dyDescent="0.25">
      <c r="A117" s="2"/>
      <c r="B117" s="2"/>
      <c r="C117" s="2"/>
      <c r="D117" s="2"/>
      <c r="E117" s="106" t="s">
        <v>142</v>
      </c>
      <c r="F117" s="2"/>
      <c r="G117" s="2"/>
      <c r="H117" s="3"/>
      <c r="I117" s="2"/>
    </row>
    <row r="118" spans="1:15" x14ac:dyDescent="0.25">
      <c r="A118" s="2"/>
      <c r="B118" s="2"/>
      <c r="C118" s="2"/>
      <c r="D118" s="2"/>
      <c r="E118" s="2"/>
      <c r="F118" s="2"/>
      <c r="G118" s="2"/>
      <c r="H118" s="3"/>
      <c r="I118" s="2"/>
    </row>
    <row r="119" spans="1:15" x14ac:dyDescent="0.25">
      <c r="A119" s="2"/>
      <c r="B119" s="2"/>
      <c r="C119" s="2"/>
      <c r="D119" s="2"/>
      <c r="E119" s="2"/>
      <c r="F119" s="2"/>
      <c r="G119" s="2"/>
      <c r="H119" s="3"/>
      <c r="I119" s="2"/>
    </row>
    <row r="120" spans="1:15" x14ac:dyDescent="0.25">
      <c r="A120" s="2"/>
      <c r="B120" s="2"/>
      <c r="C120" s="2"/>
      <c r="D120" s="2"/>
      <c r="E120" s="2"/>
      <c r="F120" s="2"/>
      <c r="G120" s="2"/>
      <c r="H120" s="3"/>
      <c r="I120" s="2"/>
    </row>
    <row r="121" spans="1:15" x14ac:dyDescent="0.25">
      <c r="A121" s="2"/>
      <c r="B121" s="2"/>
      <c r="C121" s="2"/>
      <c r="D121" s="2"/>
      <c r="E121" s="2"/>
      <c r="F121" s="2"/>
      <c r="G121" s="2"/>
      <c r="H121" s="3"/>
      <c r="I121" s="2"/>
    </row>
    <row r="122" spans="1:15" x14ac:dyDescent="0.25">
      <c r="A122" s="2"/>
      <c r="B122" s="2"/>
      <c r="C122" s="2"/>
      <c r="D122" s="2"/>
      <c r="E122" s="2"/>
      <c r="F122" s="2"/>
      <c r="G122" s="2"/>
      <c r="H122" s="3"/>
      <c r="I122" s="2"/>
    </row>
    <row r="123" spans="1:15" x14ac:dyDescent="0.25">
      <c r="A123" s="2"/>
      <c r="B123" s="2"/>
      <c r="C123" s="2"/>
      <c r="D123" s="2"/>
      <c r="E123" s="2"/>
      <c r="F123" s="2"/>
      <c r="G123" s="2"/>
      <c r="H123" s="3"/>
      <c r="I123" s="2"/>
    </row>
    <row r="124" spans="1:15" x14ac:dyDescent="0.25">
      <c r="A124" s="2"/>
      <c r="B124" s="2"/>
      <c r="C124" s="2"/>
      <c r="D124" s="2"/>
      <c r="E124" s="2"/>
      <c r="F124" s="2"/>
      <c r="G124" s="2"/>
      <c r="H124" s="3"/>
      <c r="I124" s="2"/>
    </row>
    <row r="125" spans="1:15" x14ac:dyDescent="0.25">
      <c r="A125" s="2"/>
      <c r="B125" s="2"/>
      <c r="C125" s="2"/>
      <c r="D125" s="2"/>
      <c r="E125" s="2"/>
      <c r="F125" s="2"/>
      <c r="G125" s="2"/>
      <c r="H125" s="3"/>
      <c r="I125" s="2"/>
    </row>
    <row r="126" spans="1:15" x14ac:dyDescent="0.25">
      <c r="A126" s="2"/>
      <c r="B126" s="2"/>
      <c r="C126" s="2"/>
      <c r="D126" s="2"/>
      <c r="E126" s="2"/>
      <c r="F126" s="2"/>
      <c r="G126" s="2"/>
      <c r="H126" s="3"/>
      <c r="I126" s="2"/>
    </row>
    <row r="127" spans="1:15" x14ac:dyDescent="0.25">
      <c r="A127" s="2"/>
      <c r="B127" s="2"/>
      <c r="C127" s="2"/>
      <c r="D127" s="2"/>
      <c r="E127" s="2"/>
      <c r="F127" s="2"/>
      <c r="G127" s="2"/>
      <c r="H127" s="3"/>
      <c r="I127" s="2"/>
    </row>
    <row r="128" spans="1:15" x14ac:dyDescent="0.25">
      <c r="A128" s="2"/>
      <c r="B128" s="2"/>
      <c r="C128" s="2"/>
      <c r="D128" s="2"/>
      <c r="E128" s="2"/>
      <c r="F128" s="2"/>
      <c r="G128" s="2"/>
      <c r="H128" s="3"/>
      <c r="I128" s="2"/>
    </row>
    <row r="129" spans="1:9" x14ac:dyDescent="0.25">
      <c r="A129" s="2"/>
      <c r="B129" s="2"/>
      <c r="C129" s="2"/>
      <c r="D129" s="2"/>
      <c r="E129" s="2"/>
      <c r="F129" s="2"/>
      <c r="G129" s="2"/>
      <c r="H129" s="3"/>
      <c r="I129" s="2"/>
    </row>
  </sheetData>
  <mergeCells count="7">
    <mergeCell ref="A101:F102"/>
    <mergeCell ref="A1:O1"/>
    <mergeCell ref="A3:O3"/>
    <mergeCell ref="A11:O11"/>
    <mergeCell ref="A35:O35"/>
    <mergeCell ref="A47:O47"/>
    <mergeCell ref="A48:F48"/>
  </mergeCells>
  <dataValidations count="7">
    <dataValidation type="list" allowBlank="1" showInputMessage="1" showErrorMessage="1" sqref="E40 C39:D46" xr:uid="{00000000-0002-0000-1200-000000000000}">
      <formula1>#REF!</formula1>
    </dataValidation>
    <dataValidation type="list" allowBlank="1" showInputMessage="1" showErrorMessage="1" sqref="C22:D31 C14:D18 C37:D37 C5:D10" xr:uid="{00000000-0002-0000-1200-000001000000}">
      <formula1>$A$110:$A$122</formula1>
    </dataValidation>
    <dataValidation type="list" allowBlank="1" showInputMessage="1" showErrorMessage="1" sqref="E5:E10 E22:E31 E37 E14:E18" xr:uid="{00000000-0002-0000-1200-000002000000}">
      <formula1>$F$110:$F$124</formula1>
    </dataValidation>
    <dataValidation type="list" allowBlank="1" showInputMessage="1" showErrorMessage="1" sqref="B5:B10 B22:B31 B14:B18 B37" xr:uid="{00000000-0002-0000-1200-000003000000}">
      <formula1>$B$110:$B$114</formula1>
    </dataValidation>
    <dataValidation type="list" allowBlank="1" showInputMessage="1" showErrorMessage="1" sqref="A5:A10 A37 A14:A18 A22:A31" xr:uid="{00000000-0002-0000-1200-000004000000}">
      <formula1>$D$110:$D$112</formula1>
    </dataValidation>
    <dataValidation type="list" allowBlank="1" showInputMessage="1" showErrorMessage="1" sqref="G5:G10 G14:G18 G37 G22:G31" xr:uid="{00000000-0002-0000-1200-000005000000}">
      <formula1>$C$110:$C$118</formula1>
    </dataValidation>
    <dataValidation type="list" allowBlank="1" showInputMessage="1" showErrorMessage="1" sqref="F5:F10 F14:F18 F37 F22:F31" xr:uid="{00000000-0002-0000-1200-000006000000}">
      <formula1>$E$110:$E$124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I28"/>
  <sheetViews>
    <sheetView workbookViewId="0">
      <selection activeCell="A23" sqref="A23"/>
    </sheetView>
  </sheetViews>
  <sheetFormatPr defaultColWidth="8.77734375" defaultRowHeight="13.2" x14ac:dyDescent="0.25"/>
  <cols>
    <col min="1" max="1" width="26.33203125" customWidth="1"/>
    <col min="2" max="3" width="19.77734375" customWidth="1"/>
    <col min="4" max="4" width="3.44140625" customWidth="1"/>
    <col min="5" max="5" width="26.33203125" customWidth="1"/>
    <col min="6" max="6" width="19.77734375" customWidth="1"/>
  </cols>
  <sheetData>
    <row r="2" spans="1:9" s="545" customFormat="1" x14ac:dyDescent="0.25">
      <c r="A2" s="746" t="s">
        <v>538</v>
      </c>
      <c r="B2" s="612"/>
      <c r="C2" s="612"/>
      <c r="D2" s="612"/>
      <c r="E2" s="612"/>
      <c r="F2" s="612"/>
      <c r="G2" s="612"/>
      <c r="H2" s="612"/>
      <c r="I2" s="612"/>
    </row>
    <row r="6" spans="1:9" ht="16.2" thickBot="1" x14ac:dyDescent="0.35">
      <c r="A6" s="860" t="s">
        <v>519</v>
      </c>
      <c r="B6" s="860"/>
      <c r="C6" s="860"/>
      <c r="D6" s="860"/>
      <c r="E6" s="860"/>
      <c r="F6" s="860"/>
    </row>
    <row r="7" spans="1:9" ht="16.2" thickBot="1" x14ac:dyDescent="0.3">
      <c r="A7" s="861" t="s">
        <v>520</v>
      </c>
      <c r="B7" s="862"/>
      <c r="C7" s="863"/>
      <c r="D7" s="728"/>
      <c r="E7" s="864" t="s">
        <v>108</v>
      </c>
      <c r="F7" s="865"/>
    </row>
    <row r="8" spans="1:9" ht="47.4" thickBot="1" x14ac:dyDescent="0.3">
      <c r="A8" s="729" t="s">
        <v>521</v>
      </c>
      <c r="B8" s="729" t="s">
        <v>522</v>
      </c>
      <c r="C8" s="729" t="s">
        <v>523</v>
      </c>
      <c r="D8" s="730"/>
      <c r="E8" s="731" t="s">
        <v>521</v>
      </c>
      <c r="F8" s="732" t="s">
        <v>524</v>
      </c>
    </row>
    <row r="9" spans="1:9" ht="15.6" x14ac:dyDescent="0.25">
      <c r="A9" s="733" t="s">
        <v>366</v>
      </c>
      <c r="B9" s="734" t="s">
        <v>525</v>
      </c>
      <c r="C9" s="733" t="s">
        <v>525</v>
      </c>
      <c r="D9" s="735"/>
      <c r="E9" s="733"/>
      <c r="F9" s="733"/>
    </row>
    <row r="10" spans="1:9" ht="15.6" x14ac:dyDescent="0.25">
      <c r="A10" s="736" t="s">
        <v>368</v>
      </c>
      <c r="B10" s="737" t="s">
        <v>526</v>
      </c>
      <c r="C10" s="736" t="s">
        <v>526</v>
      </c>
      <c r="D10" s="735"/>
      <c r="E10" s="736" t="s">
        <v>527</v>
      </c>
      <c r="F10" s="736" t="s">
        <v>528</v>
      </c>
    </row>
    <row r="11" spans="1:9" ht="15.6" x14ac:dyDescent="0.25">
      <c r="A11" s="738" t="s">
        <v>370</v>
      </c>
      <c r="B11" s="739" t="s">
        <v>529</v>
      </c>
      <c r="C11" s="738" t="s">
        <v>529</v>
      </c>
      <c r="D11" s="735"/>
      <c r="E11" s="738" t="s">
        <v>530</v>
      </c>
      <c r="F11" s="738" t="s">
        <v>531</v>
      </c>
    </row>
    <row r="12" spans="1:9" ht="15.6" x14ac:dyDescent="0.25">
      <c r="A12" s="736" t="s">
        <v>532</v>
      </c>
      <c r="B12" s="737" t="s">
        <v>533</v>
      </c>
      <c r="C12" s="736" t="s">
        <v>210</v>
      </c>
      <c r="D12" s="735"/>
      <c r="E12" s="736" t="s">
        <v>532</v>
      </c>
      <c r="F12" s="736" t="s">
        <v>533</v>
      </c>
    </row>
    <row r="13" spans="1:9" ht="15.6" x14ac:dyDescent="0.25">
      <c r="A13" s="738" t="s">
        <v>534</v>
      </c>
      <c r="B13" s="739" t="s">
        <v>534</v>
      </c>
      <c r="C13" s="738" t="s">
        <v>534</v>
      </c>
      <c r="D13" s="735"/>
      <c r="E13" s="738"/>
      <c r="F13" s="738"/>
    </row>
    <row r="14" spans="1:9" ht="15.6" x14ac:dyDescent="0.3">
      <c r="A14" s="736" t="s">
        <v>535</v>
      </c>
      <c r="B14" s="737"/>
      <c r="C14" s="736" t="s">
        <v>531</v>
      </c>
      <c r="D14" s="740"/>
      <c r="E14" s="741"/>
      <c r="F14" s="742"/>
    </row>
    <row r="15" spans="1:9" ht="16.2" thickBot="1" x14ac:dyDescent="0.35">
      <c r="A15" s="743" t="s">
        <v>536</v>
      </c>
      <c r="B15" s="744"/>
      <c r="C15" s="743" t="s">
        <v>533</v>
      </c>
      <c r="D15" s="745"/>
      <c r="E15" s="743"/>
      <c r="F15" s="743"/>
    </row>
    <row r="16" spans="1:9" ht="15.6" x14ac:dyDescent="0.3">
      <c r="A16" s="745"/>
      <c r="B16" s="745"/>
      <c r="C16" s="745"/>
      <c r="D16" s="745"/>
      <c r="E16" s="745"/>
      <c r="F16" s="745"/>
    </row>
    <row r="17" spans="1:6" ht="35.25" customHeight="1" x14ac:dyDescent="0.25">
      <c r="A17" s="866" t="s">
        <v>537</v>
      </c>
      <c r="B17" s="866"/>
      <c r="C17" s="866"/>
      <c r="D17" s="866"/>
      <c r="E17" s="866"/>
      <c r="F17" s="866"/>
    </row>
    <row r="23" spans="1:6" x14ac:dyDescent="0.25">
      <c r="A23" s="839" t="s">
        <v>605</v>
      </c>
      <c r="B23" s="822"/>
      <c r="C23" s="822"/>
      <c r="D23" s="822"/>
      <c r="E23" s="822"/>
    </row>
    <row r="25" spans="1:6" x14ac:dyDescent="0.25">
      <c r="A25" s="867" t="s">
        <v>602</v>
      </c>
      <c r="B25" s="867"/>
      <c r="C25" s="867"/>
    </row>
    <row r="26" spans="1:6" ht="52.05" customHeight="1" x14ac:dyDescent="0.25">
      <c r="A26" s="858" t="s">
        <v>603</v>
      </c>
      <c r="B26" s="858"/>
      <c r="C26" s="858"/>
    </row>
    <row r="28" spans="1:6" ht="64.5" customHeight="1" x14ac:dyDescent="0.25">
      <c r="A28" s="859" t="s">
        <v>604</v>
      </c>
      <c r="B28" s="859"/>
      <c r="C28" s="859"/>
    </row>
  </sheetData>
  <mergeCells count="7">
    <mergeCell ref="A26:C26"/>
    <mergeCell ref="A28:C28"/>
    <mergeCell ref="A6:F6"/>
    <mergeCell ref="A7:C7"/>
    <mergeCell ref="E7:F7"/>
    <mergeCell ref="A17:F17"/>
    <mergeCell ref="A25:C25"/>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6">
    <tabColor rgb="FFFF0000"/>
  </sheetPr>
  <dimension ref="A1:EA129"/>
  <sheetViews>
    <sheetView topLeftCell="D1" zoomScale="70" zoomScaleNormal="70" workbookViewId="0">
      <selection activeCell="K6" sqref="K6"/>
    </sheetView>
  </sheetViews>
  <sheetFormatPr defaultColWidth="8.77734375" defaultRowHeight="13.2" x14ac:dyDescent="0.25"/>
  <cols>
    <col min="1" max="15" width="26.44140625" customWidth="1"/>
  </cols>
  <sheetData>
    <row r="1" spans="1:131" ht="18" thickBot="1" x14ac:dyDescent="0.3">
      <c r="A1" s="900" t="s">
        <v>310</v>
      </c>
      <c r="B1" s="900"/>
      <c r="C1" s="900"/>
      <c r="D1" s="900"/>
      <c r="E1" s="900"/>
      <c r="F1" s="900"/>
      <c r="G1" s="900"/>
      <c r="H1" s="900"/>
      <c r="I1" s="900"/>
      <c r="J1" s="900"/>
      <c r="K1" s="900"/>
      <c r="L1" s="900"/>
      <c r="M1" s="900"/>
      <c r="N1" s="900"/>
      <c r="O1" s="900"/>
    </row>
    <row r="2" spans="1:131" ht="17.399999999999999" x14ac:dyDescent="0.25">
      <c r="A2" s="530" t="s">
        <v>188</v>
      </c>
      <c r="B2" s="175"/>
      <c r="C2" s="530"/>
      <c r="D2" s="530"/>
      <c r="E2" s="530"/>
      <c r="F2" s="530"/>
      <c r="G2" s="530"/>
      <c r="H2" s="381"/>
      <c r="I2" s="530"/>
      <c r="J2" s="399"/>
      <c r="K2" s="399"/>
      <c r="L2" s="399"/>
      <c r="M2" s="399"/>
      <c r="N2" s="399"/>
      <c r="O2" s="399"/>
    </row>
    <row r="3" spans="1:131" ht="15" x14ac:dyDescent="0.25">
      <c r="A3" s="901" t="s">
        <v>204</v>
      </c>
      <c r="B3" s="902"/>
      <c r="C3" s="902"/>
      <c r="D3" s="902"/>
      <c r="E3" s="902"/>
      <c r="F3" s="902"/>
      <c r="G3" s="902"/>
      <c r="H3" s="902"/>
      <c r="I3" s="902"/>
      <c r="J3" s="902"/>
      <c r="K3" s="902"/>
      <c r="L3" s="902"/>
      <c r="M3" s="902"/>
      <c r="N3" s="902"/>
      <c r="O3" s="903"/>
    </row>
    <row r="4" spans="1:131" ht="60" x14ac:dyDescent="0.25">
      <c r="A4" s="176" t="s">
        <v>89</v>
      </c>
      <c r="B4" s="176" t="s">
        <v>90</v>
      </c>
      <c r="C4" s="177" t="s">
        <v>0</v>
      </c>
      <c r="D4" s="177" t="s">
        <v>124</v>
      </c>
      <c r="E4" s="176" t="s">
        <v>143</v>
      </c>
      <c r="F4" s="176" t="s">
        <v>144</v>
      </c>
      <c r="G4" s="176" t="s">
        <v>13</v>
      </c>
      <c r="H4" s="382" t="s">
        <v>88</v>
      </c>
      <c r="I4" s="176" t="s">
        <v>12</v>
      </c>
      <c r="J4" s="400" t="s">
        <v>158</v>
      </c>
      <c r="K4" s="400" t="s">
        <v>148</v>
      </c>
      <c r="L4" s="400" t="s">
        <v>180</v>
      </c>
      <c r="M4" s="400" t="s">
        <v>104</v>
      </c>
      <c r="N4" s="400" t="s">
        <v>179</v>
      </c>
      <c r="O4" s="400" t="s">
        <v>205</v>
      </c>
    </row>
    <row r="5" spans="1:131" ht="30" x14ac:dyDescent="0.25">
      <c r="A5" s="482" t="s">
        <v>84</v>
      </c>
      <c r="B5" s="482" t="s">
        <v>3</v>
      </c>
      <c r="C5" s="482" t="s">
        <v>307</v>
      </c>
      <c r="D5" s="482" t="s">
        <v>307</v>
      </c>
      <c r="E5" s="327" t="s">
        <v>120</v>
      </c>
      <c r="F5" s="457" t="s">
        <v>44</v>
      </c>
      <c r="G5" s="482" t="s">
        <v>14</v>
      </c>
      <c r="H5" s="483">
        <v>44423</v>
      </c>
      <c r="I5" s="482" t="s">
        <v>23</v>
      </c>
      <c r="J5" s="350">
        <v>143.66999999999999</v>
      </c>
      <c r="K5" s="350">
        <f>'Jun13'!K5</f>
        <v>118.16</v>
      </c>
      <c r="L5" s="496">
        <f t="shared" ref="L5:L8" si="0">N5-M5</f>
        <v>13.231577770000001</v>
      </c>
      <c r="M5" s="350">
        <f t="shared" ref="M5:N8" si="1">-DZ5/1000000</f>
        <v>1.9877780300000001</v>
      </c>
      <c r="N5" s="350">
        <f t="shared" si="1"/>
        <v>15.219355800000001</v>
      </c>
      <c r="O5" s="88"/>
      <c r="DZ5">
        <v>-1987778.03</v>
      </c>
      <c r="EA5">
        <v>-15219355.800000001</v>
      </c>
    </row>
    <row r="6" spans="1:131" ht="30" x14ac:dyDescent="0.25">
      <c r="A6" s="485" t="s">
        <v>84</v>
      </c>
      <c r="B6" s="485" t="s">
        <v>3</v>
      </c>
      <c r="C6" s="485" t="s">
        <v>307</v>
      </c>
      <c r="D6" s="485" t="s">
        <v>307</v>
      </c>
      <c r="E6" s="329" t="s">
        <v>120</v>
      </c>
      <c r="F6" s="458" t="s">
        <v>44</v>
      </c>
      <c r="G6" s="485" t="s">
        <v>14</v>
      </c>
      <c r="H6" s="93">
        <v>44576</v>
      </c>
      <c r="I6" s="485" t="s">
        <v>24</v>
      </c>
      <c r="J6" s="351">
        <v>27.4</v>
      </c>
      <c r="K6" s="351">
        <f>'Jun13'!K6</f>
        <v>25.83</v>
      </c>
      <c r="L6" s="497">
        <f t="shared" si="0"/>
        <v>3.4963173799999998</v>
      </c>
      <c r="M6" s="351">
        <f t="shared" si="1"/>
        <v>7.9498539999999993E-2</v>
      </c>
      <c r="N6" s="351">
        <f t="shared" si="1"/>
        <v>3.5758159199999997</v>
      </c>
      <c r="O6" s="96"/>
      <c r="DZ6">
        <v>-79498.539999999994</v>
      </c>
      <c r="EA6">
        <v>-3575815.92</v>
      </c>
    </row>
    <row r="7" spans="1:131" ht="30" x14ac:dyDescent="0.25">
      <c r="A7" s="482" t="s">
        <v>84</v>
      </c>
      <c r="B7" s="482" t="s">
        <v>3</v>
      </c>
      <c r="C7" s="482" t="s">
        <v>308</v>
      </c>
      <c r="D7" s="482" t="s">
        <v>308</v>
      </c>
      <c r="E7" s="327" t="s">
        <v>39</v>
      </c>
      <c r="F7" s="457" t="s">
        <v>38</v>
      </c>
      <c r="G7" s="482" t="s">
        <v>14</v>
      </c>
      <c r="H7" s="483">
        <v>44576</v>
      </c>
      <c r="I7" s="482" t="s">
        <v>24</v>
      </c>
      <c r="J7" s="350">
        <v>26.85</v>
      </c>
      <c r="K7" s="350">
        <f>'Jun13'!K7</f>
        <v>25.38</v>
      </c>
      <c r="L7" s="496">
        <f t="shared" si="0"/>
        <v>3.4281772500000001</v>
      </c>
      <c r="M7" s="350">
        <f t="shared" si="1"/>
        <v>7.809816E-2</v>
      </c>
      <c r="N7" s="350">
        <f t="shared" si="1"/>
        <v>3.5062754100000002</v>
      </c>
      <c r="O7" s="88"/>
      <c r="DZ7">
        <v>-78098.16</v>
      </c>
      <c r="EA7">
        <v>-3506275.41</v>
      </c>
    </row>
    <row r="8" spans="1:131" ht="30" x14ac:dyDescent="0.25">
      <c r="A8" s="485" t="s">
        <v>84</v>
      </c>
      <c r="B8" s="485" t="s">
        <v>3</v>
      </c>
      <c r="C8" s="485" t="s">
        <v>309</v>
      </c>
      <c r="D8" s="485" t="s">
        <v>125</v>
      </c>
      <c r="E8" s="329" t="s">
        <v>39</v>
      </c>
      <c r="F8" s="458" t="s">
        <v>42</v>
      </c>
      <c r="G8" s="485" t="s">
        <v>14</v>
      </c>
      <c r="H8" s="93">
        <v>46296</v>
      </c>
      <c r="I8" s="485" t="s">
        <v>25</v>
      </c>
      <c r="J8" s="351">
        <v>40.880000000000003</v>
      </c>
      <c r="K8" s="351">
        <f>'Jun13'!K8</f>
        <v>37.659999999999997</v>
      </c>
      <c r="L8" s="497">
        <f t="shared" si="0"/>
        <v>4.7259398099999999</v>
      </c>
      <c r="M8" s="351">
        <f t="shared" si="1"/>
        <v>0.10334183</v>
      </c>
      <c r="N8" s="351">
        <f t="shared" si="1"/>
        <v>4.8292816399999996</v>
      </c>
      <c r="O8" s="96"/>
      <c r="DZ8">
        <v>-103341.83</v>
      </c>
      <c r="EA8">
        <v>-4829281.6399999997</v>
      </c>
    </row>
    <row r="9" spans="1:131" ht="15" x14ac:dyDescent="0.25">
      <c r="A9" s="111"/>
      <c r="B9" s="111"/>
      <c r="C9" s="111"/>
      <c r="D9" s="111"/>
      <c r="E9" s="123"/>
      <c r="F9" s="111"/>
      <c r="G9" s="111"/>
      <c r="H9" s="114"/>
      <c r="I9" s="111"/>
      <c r="J9" s="352"/>
      <c r="K9" s="352"/>
      <c r="L9" s="352"/>
      <c r="M9" s="352"/>
      <c r="N9" s="353"/>
      <c r="O9" s="353"/>
    </row>
    <row r="10" spans="1:131" ht="15" x14ac:dyDescent="0.25">
      <c r="A10" s="485"/>
      <c r="B10" s="485"/>
      <c r="C10" s="485"/>
      <c r="D10" s="485"/>
      <c r="E10" s="329"/>
      <c r="F10" s="485"/>
      <c r="G10" s="485"/>
      <c r="H10" s="93"/>
      <c r="I10" s="485"/>
      <c r="J10" s="351"/>
      <c r="K10" s="351"/>
      <c r="L10" s="351"/>
      <c r="M10" s="351"/>
      <c r="N10" s="96"/>
      <c r="O10" s="96"/>
    </row>
    <row r="11" spans="1:131" ht="15" x14ac:dyDescent="0.25">
      <c r="A11" s="901" t="s">
        <v>203</v>
      </c>
      <c r="B11" s="902"/>
      <c r="C11" s="902"/>
      <c r="D11" s="902"/>
      <c r="E11" s="902"/>
      <c r="F11" s="902"/>
      <c r="G11" s="902"/>
      <c r="H11" s="902"/>
      <c r="I11" s="902"/>
      <c r="J11" s="902"/>
      <c r="K11" s="902"/>
      <c r="L11" s="902"/>
      <c r="M11" s="902"/>
      <c r="N11" s="902"/>
      <c r="O11" s="903"/>
    </row>
    <row r="12" spans="1:131" ht="60" x14ac:dyDescent="0.25">
      <c r="A12" s="176" t="s">
        <v>89</v>
      </c>
      <c r="B12" s="176" t="s">
        <v>90</v>
      </c>
      <c r="C12" s="177" t="s">
        <v>0</v>
      </c>
      <c r="D12" s="180" t="s">
        <v>124</v>
      </c>
      <c r="E12" s="176" t="s">
        <v>143</v>
      </c>
      <c r="F12" s="176" t="s">
        <v>144</v>
      </c>
      <c r="G12" s="176" t="s">
        <v>13</v>
      </c>
      <c r="H12" s="382" t="s">
        <v>88</v>
      </c>
      <c r="I12" s="176" t="s">
        <v>12</v>
      </c>
      <c r="J12" s="400" t="s">
        <v>150</v>
      </c>
      <c r="K12" s="400" t="s">
        <v>151</v>
      </c>
      <c r="L12" s="400" t="s">
        <v>157</v>
      </c>
      <c r="M12" s="400" t="s">
        <v>149</v>
      </c>
      <c r="N12" s="400" t="s">
        <v>179</v>
      </c>
      <c r="O12" s="400" t="s">
        <v>205</v>
      </c>
    </row>
    <row r="13" spans="1:131" ht="15" x14ac:dyDescent="0.25">
      <c r="A13" s="184" t="s">
        <v>197</v>
      </c>
      <c r="B13" s="184"/>
      <c r="C13" s="185"/>
      <c r="D13" s="185"/>
      <c r="E13" s="184"/>
      <c r="F13" s="184"/>
      <c r="G13" s="184"/>
      <c r="H13" s="383"/>
      <c r="I13" s="184"/>
      <c r="J13" s="403"/>
      <c r="K13" s="403"/>
      <c r="L13" s="403"/>
      <c r="M13" s="403"/>
      <c r="N13" s="403"/>
      <c r="O13" s="404"/>
    </row>
    <row r="14" spans="1:131" ht="30" x14ac:dyDescent="0.25">
      <c r="A14" s="482" t="s">
        <v>8</v>
      </c>
      <c r="B14" s="485" t="s">
        <v>7</v>
      </c>
      <c r="C14" s="482" t="s">
        <v>239</v>
      </c>
      <c r="D14" s="482" t="s">
        <v>238</v>
      </c>
      <c r="E14" s="327" t="s">
        <v>32</v>
      </c>
      <c r="F14" s="327" t="s">
        <v>45</v>
      </c>
      <c r="G14" s="482" t="s">
        <v>22</v>
      </c>
      <c r="H14" s="483">
        <v>41820</v>
      </c>
      <c r="I14" s="482" t="s">
        <v>132</v>
      </c>
      <c r="J14" s="88">
        <v>17.489999999999998</v>
      </c>
      <c r="K14" s="88">
        <v>-1.21</v>
      </c>
      <c r="L14" s="488">
        <v>16.279999999999998</v>
      </c>
      <c r="M14" s="88"/>
      <c r="N14" s="88"/>
      <c r="O14" s="88"/>
    </row>
    <row r="15" spans="1:131" ht="30" x14ac:dyDescent="0.25">
      <c r="A15" s="485" t="s">
        <v>8</v>
      </c>
      <c r="B15" s="485" t="s">
        <v>193</v>
      </c>
      <c r="C15" s="485" t="s">
        <v>239</v>
      </c>
      <c r="D15" s="485" t="s">
        <v>238</v>
      </c>
      <c r="E15" s="485" t="s">
        <v>32</v>
      </c>
      <c r="F15" s="485" t="s">
        <v>45</v>
      </c>
      <c r="G15" s="485" t="s">
        <v>22</v>
      </c>
      <c r="H15" s="385">
        <v>42185</v>
      </c>
      <c r="I15" s="485" t="s">
        <v>133</v>
      </c>
      <c r="J15" s="379">
        <v>13.19</v>
      </c>
      <c r="K15" s="379">
        <v>0</v>
      </c>
      <c r="L15" s="489">
        <v>13.19</v>
      </c>
      <c r="M15" s="379"/>
      <c r="N15" s="379"/>
      <c r="O15" s="379"/>
    </row>
    <row r="16" spans="1:131" ht="30" x14ac:dyDescent="0.25">
      <c r="A16" s="482" t="s">
        <v>8</v>
      </c>
      <c r="B16" s="482" t="s">
        <v>193</v>
      </c>
      <c r="C16" s="482" t="s">
        <v>239</v>
      </c>
      <c r="D16" s="482" t="s">
        <v>238</v>
      </c>
      <c r="E16" s="482" t="s">
        <v>32</v>
      </c>
      <c r="F16" s="482" t="s">
        <v>45</v>
      </c>
      <c r="G16" s="482" t="s">
        <v>22</v>
      </c>
      <c r="H16" s="386">
        <v>42551</v>
      </c>
      <c r="I16" s="482" t="s">
        <v>300</v>
      </c>
      <c r="J16" s="380">
        <v>1.08</v>
      </c>
      <c r="K16" s="380">
        <v>0</v>
      </c>
      <c r="L16" s="488">
        <v>1.08</v>
      </c>
      <c r="M16" s="380"/>
      <c r="N16" s="380"/>
      <c r="O16" s="380"/>
    </row>
    <row r="17" spans="1:15" ht="30" x14ac:dyDescent="0.25">
      <c r="A17" s="485" t="s">
        <v>8</v>
      </c>
      <c r="B17" s="485" t="s">
        <v>193</v>
      </c>
      <c r="C17" s="485" t="s">
        <v>239</v>
      </c>
      <c r="D17" s="485" t="s">
        <v>238</v>
      </c>
      <c r="E17" s="485" t="s">
        <v>32</v>
      </c>
      <c r="F17" s="485" t="s">
        <v>45</v>
      </c>
      <c r="G17" s="485" t="s">
        <v>22</v>
      </c>
      <c r="H17" s="385">
        <v>42916</v>
      </c>
      <c r="I17" s="485" t="s">
        <v>345</v>
      </c>
      <c r="J17" s="379">
        <v>0</v>
      </c>
      <c r="K17" s="379">
        <v>0</v>
      </c>
      <c r="L17" s="490">
        <v>0</v>
      </c>
      <c r="M17" s="379"/>
      <c r="N17" s="379"/>
      <c r="O17" s="379"/>
    </row>
    <row r="18" spans="1:15" ht="15" x14ac:dyDescent="0.25">
      <c r="A18" s="181"/>
      <c r="B18" s="181"/>
      <c r="C18" s="181"/>
      <c r="D18" s="181"/>
      <c r="E18" s="182"/>
      <c r="F18" s="181"/>
      <c r="G18" s="181"/>
      <c r="H18" s="183" t="s">
        <v>206</v>
      </c>
      <c r="I18" s="181"/>
      <c r="J18" s="354">
        <v>31.759999999999998</v>
      </c>
      <c r="K18" s="354">
        <v>-1.21</v>
      </c>
      <c r="L18" s="354">
        <v>30.549999999999997</v>
      </c>
      <c r="M18" s="354">
        <v>26.511548999999995</v>
      </c>
      <c r="N18" s="354">
        <v>4.0384510000000002</v>
      </c>
      <c r="O18" s="354">
        <v>35</v>
      </c>
    </row>
    <row r="19" spans="1:15" ht="15" x14ac:dyDescent="0.25">
      <c r="A19" s="181" t="s">
        <v>295</v>
      </c>
      <c r="B19" s="181"/>
      <c r="C19" s="181"/>
      <c r="D19" s="181"/>
      <c r="E19" s="182"/>
      <c r="F19" s="181"/>
      <c r="G19" s="181"/>
      <c r="H19" s="183"/>
      <c r="I19" s="181"/>
      <c r="J19" s="354"/>
      <c r="K19" s="354"/>
      <c r="L19" s="354"/>
      <c r="M19" s="354"/>
      <c r="N19" s="354"/>
      <c r="O19" s="354"/>
    </row>
    <row r="20" spans="1:15" ht="15" x14ac:dyDescent="0.25">
      <c r="A20" s="184" t="s">
        <v>327</v>
      </c>
      <c r="B20" s="184"/>
      <c r="C20" s="185"/>
      <c r="D20" s="185"/>
      <c r="E20" s="184"/>
      <c r="F20" s="184"/>
      <c r="G20" s="184"/>
      <c r="H20" s="383"/>
      <c r="I20" s="184"/>
      <c r="J20" s="459"/>
      <c r="K20" s="459"/>
      <c r="L20" s="459"/>
      <c r="M20" s="459"/>
      <c r="N20" s="459"/>
      <c r="O20" s="186"/>
    </row>
    <row r="21" spans="1:15" ht="30" x14ac:dyDescent="0.25">
      <c r="A21" s="482" t="s">
        <v>8</v>
      </c>
      <c r="B21" s="482" t="s">
        <v>7</v>
      </c>
      <c r="C21" s="482" t="s">
        <v>27</v>
      </c>
      <c r="D21" s="482" t="s">
        <v>127</v>
      </c>
      <c r="E21" s="327" t="s">
        <v>33</v>
      </c>
      <c r="F21" s="327" t="s">
        <v>45</v>
      </c>
      <c r="G21" s="482" t="s">
        <v>22</v>
      </c>
      <c r="H21" s="483">
        <v>41820</v>
      </c>
      <c r="I21" s="482" t="s">
        <v>138</v>
      </c>
      <c r="J21" s="88">
        <v>0.92112859999999996</v>
      </c>
      <c r="K21" s="88">
        <v>-0.26625288000000003</v>
      </c>
      <c r="L21" s="488">
        <v>0.65487571999999994</v>
      </c>
      <c r="M21" s="486"/>
      <c r="N21" s="486"/>
      <c r="O21" s="486"/>
    </row>
    <row r="22" spans="1:15" ht="30" x14ac:dyDescent="0.25">
      <c r="A22" s="482" t="s">
        <v>8</v>
      </c>
      <c r="B22" s="485" t="s">
        <v>7</v>
      </c>
      <c r="C22" s="485" t="s">
        <v>27</v>
      </c>
      <c r="D22" s="485" t="s">
        <v>127</v>
      </c>
      <c r="E22" s="485" t="s">
        <v>33</v>
      </c>
      <c r="F22" s="485" t="s">
        <v>45</v>
      </c>
      <c r="G22" s="485" t="s">
        <v>22</v>
      </c>
      <c r="H22" s="385">
        <v>42185</v>
      </c>
      <c r="I22" s="485" t="s">
        <v>139</v>
      </c>
      <c r="J22" s="379"/>
      <c r="K22" s="379"/>
      <c r="L22" s="489">
        <v>0</v>
      </c>
      <c r="M22" s="484"/>
      <c r="N22" s="484"/>
      <c r="O22" s="484"/>
    </row>
    <row r="23" spans="1:15" ht="30" x14ac:dyDescent="0.25">
      <c r="A23" s="482" t="s">
        <v>8</v>
      </c>
      <c r="B23" s="482" t="s">
        <v>7</v>
      </c>
      <c r="C23" s="482" t="s">
        <v>27</v>
      </c>
      <c r="D23" s="482" t="s">
        <v>127</v>
      </c>
      <c r="E23" s="482" t="s">
        <v>33</v>
      </c>
      <c r="F23" s="482" t="s">
        <v>45</v>
      </c>
      <c r="G23" s="482" t="s">
        <v>22</v>
      </c>
      <c r="H23" s="386">
        <v>42551</v>
      </c>
      <c r="I23" s="482" t="s">
        <v>301</v>
      </c>
      <c r="J23" s="380"/>
      <c r="K23" s="380"/>
      <c r="L23" s="488">
        <v>0</v>
      </c>
      <c r="M23" s="487"/>
      <c r="N23" s="487"/>
      <c r="O23" s="487"/>
    </row>
    <row r="24" spans="1:15" ht="30" x14ac:dyDescent="0.25">
      <c r="A24" s="482" t="s">
        <v>8</v>
      </c>
      <c r="B24" s="485" t="s">
        <v>7</v>
      </c>
      <c r="C24" s="485" t="s">
        <v>27</v>
      </c>
      <c r="D24" s="485" t="s">
        <v>127</v>
      </c>
      <c r="E24" s="485" t="s">
        <v>33</v>
      </c>
      <c r="F24" s="485" t="s">
        <v>45</v>
      </c>
      <c r="G24" s="485" t="s">
        <v>22</v>
      </c>
      <c r="H24" s="385">
        <v>42916</v>
      </c>
      <c r="I24" s="485" t="s">
        <v>346</v>
      </c>
      <c r="J24" s="379"/>
      <c r="K24" s="379"/>
      <c r="L24" s="490">
        <v>0</v>
      </c>
      <c r="M24" s="484"/>
      <c r="N24" s="484"/>
      <c r="O24" s="484"/>
    </row>
    <row r="25" spans="1:15" ht="15" x14ac:dyDescent="0.25">
      <c r="A25" s="181" t="s">
        <v>324</v>
      </c>
      <c r="B25" s="181"/>
      <c r="C25" s="181"/>
      <c r="D25" s="181"/>
      <c r="E25" s="182"/>
      <c r="F25" s="181"/>
      <c r="G25" s="181"/>
      <c r="H25" s="183" t="s">
        <v>206</v>
      </c>
      <c r="I25" s="181"/>
      <c r="J25" s="354">
        <v>0.92112859999999996</v>
      </c>
      <c r="K25" s="354">
        <v>-0.26625288000000003</v>
      </c>
      <c r="L25" s="354">
        <v>0.65487571999999994</v>
      </c>
      <c r="M25" s="354">
        <v>0.45977635999999994</v>
      </c>
      <c r="N25" s="354">
        <v>0.19509936</v>
      </c>
      <c r="O25" s="354"/>
    </row>
    <row r="26" spans="1:15" ht="15" x14ac:dyDescent="0.25">
      <c r="A26" s="181"/>
      <c r="B26" s="181"/>
      <c r="C26" s="181"/>
      <c r="D26" s="181"/>
      <c r="E26" s="182"/>
      <c r="F26" s="181"/>
      <c r="G26" s="181"/>
      <c r="H26" s="183"/>
      <c r="I26" s="181"/>
      <c r="J26" s="354"/>
      <c r="K26" s="354"/>
      <c r="L26" s="354"/>
      <c r="M26" s="354"/>
      <c r="N26" s="354"/>
      <c r="O26" s="354"/>
    </row>
    <row r="27" spans="1:15" ht="15" x14ac:dyDescent="0.25">
      <c r="A27" s="184" t="s">
        <v>328</v>
      </c>
      <c r="B27" s="184"/>
      <c r="C27" s="185"/>
      <c r="D27" s="185"/>
      <c r="E27" s="184"/>
      <c r="F27" s="184"/>
      <c r="G27" s="184"/>
      <c r="H27" s="383"/>
      <c r="I27" s="184"/>
      <c r="J27" s="459"/>
      <c r="K27" s="459"/>
      <c r="L27" s="459"/>
      <c r="M27" s="459"/>
      <c r="N27" s="459"/>
      <c r="O27" s="186"/>
    </row>
    <row r="28" spans="1:15" ht="30" x14ac:dyDescent="0.25">
      <c r="A28" s="482" t="s">
        <v>8</v>
      </c>
      <c r="B28" s="482" t="s">
        <v>7</v>
      </c>
      <c r="C28" s="482" t="s">
        <v>92</v>
      </c>
      <c r="D28" s="482" t="s">
        <v>128</v>
      </c>
      <c r="E28" s="327" t="s">
        <v>33</v>
      </c>
      <c r="F28" s="327" t="s">
        <v>45</v>
      </c>
      <c r="G28" s="482" t="s">
        <v>22</v>
      </c>
      <c r="H28" s="483">
        <v>41820</v>
      </c>
      <c r="I28" s="482" t="s">
        <v>138</v>
      </c>
      <c r="J28" s="88">
        <v>2.7230235199999999</v>
      </c>
      <c r="K28" s="88">
        <v>-0.42487088000000001</v>
      </c>
      <c r="L28" s="488">
        <v>2.2981526400000001</v>
      </c>
      <c r="M28" s="379"/>
      <c r="N28" s="379"/>
      <c r="O28" s="379"/>
    </row>
    <row r="29" spans="1:15" ht="30" x14ac:dyDescent="0.25">
      <c r="A29" s="485" t="s">
        <v>8</v>
      </c>
      <c r="B29" s="485" t="s">
        <v>7</v>
      </c>
      <c r="C29" s="485" t="s">
        <v>92</v>
      </c>
      <c r="D29" s="485" t="s">
        <v>128</v>
      </c>
      <c r="E29" s="485" t="s">
        <v>33</v>
      </c>
      <c r="F29" s="485" t="s">
        <v>45</v>
      </c>
      <c r="G29" s="485" t="s">
        <v>22</v>
      </c>
      <c r="H29" s="385">
        <v>42185</v>
      </c>
      <c r="I29" s="485" t="s">
        <v>139</v>
      </c>
      <c r="J29" s="379">
        <v>1.5495680000000001</v>
      </c>
      <c r="K29" s="379">
        <v>0</v>
      </c>
      <c r="L29" s="489">
        <v>1.5495680000000001</v>
      </c>
      <c r="M29" s="380"/>
      <c r="N29" s="380"/>
      <c r="O29" s="380"/>
    </row>
    <row r="30" spans="1:15" ht="30" x14ac:dyDescent="0.25">
      <c r="A30" s="482" t="s">
        <v>8</v>
      </c>
      <c r="B30" s="482" t="s">
        <v>7</v>
      </c>
      <c r="C30" s="482" t="s">
        <v>92</v>
      </c>
      <c r="D30" s="482" t="s">
        <v>128</v>
      </c>
      <c r="E30" s="482" t="s">
        <v>33</v>
      </c>
      <c r="F30" s="482" t="s">
        <v>45</v>
      </c>
      <c r="G30" s="482" t="s">
        <v>22</v>
      </c>
      <c r="H30" s="386">
        <v>42551</v>
      </c>
      <c r="I30" s="482" t="s">
        <v>301</v>
      </c>
      <c r="J30" s="380">
        <v>0.72236800000000001</v>
      </c>
      <c r="K30" s="380">
        <v>0</v>
      </c>
      <c r="L30" s="488">
        <v>0.72236800000000001</v>
      </c>
      <c r="M30" s="379"/>
      <c r="N30" s="379"/>
      <c r="O30" s="379"/>
    </row>
    <row r="31" spans="1:15" ht="30" x14ac:dyDescent="0.25">
      <c r="A31" s="485" t="s">
        <v>8</v>
      </c>
      <c r="B31" s="485" t="s">
        <v>7</v>
      </c>
      <c r="C31" s="485" t="s">
        <v>92</v>
      </c>
      <c r="D31" s="485" t="s">
        <v>128</v>
      </c>
      <c r="E31" s="485" t="s">
        <v>33</v>
      </c>
      <c r="F31" s="485" t="s">
        <v>45</v>
      </c>
      <c r="G31" s="485" t="s">
        <v>22</v>
      </c>
      <c r="H31" s="385">
        <v>42916</v>
      </c>
      <c r="I31" s="485" t="s">
        <v>346</v>
      </c>
      <c r="J31" s="379">
        <v>0</v>
      </c>
      <c r="K31" s="379">
        <v>0</v>
      </c>
      <c r="L31" s="490">
        <v>0</v>
      </c>
      <c r="M31" s="380"/>
      <c r="N31" s="380"/>
      <c r="O31" s="380"/>
    </row>
    <row r="32" spans="1:15" ht="15" x14ac:dyDescent="0.25">
      <c r="A32" s="181" t="s">
        <v>325</v>
      </c>
      <c r="B32" s="181"/>
      <c r="C32" s="181"/>
      <c r="D32" s="181"/>
      <c r="E32" s="182"/>
      <c r="F32" s="181"/>
      <c r="G32" s="181"/>
      <c r="H32" s="183" t="s">
        <v>206</v>
      </c>
      <c r="I32" s="181"/>
      <c r="J32" s="354">
        <v>4.9949595200000001</v>
      </c>
      <c r="K32" s="354">
        <v>-0.42487088000000001</v>
      </c>
      <c r="L32" s="354">
        <v>4.5700886400000007</v>
      </c>
      <c r="M32" s="354">
        <v>4.588179578000001</v>
      </c>
      <c r="N32" s="354">
        <v>-1.8090938000000212E-2</v>
      </c>
      <c r="O32" s="354"/>
    </row>
    <row r="33" spans="1:15" ht="30" x14ac:dyDescent="0.25">
      <c r="A33" s="181" t="s">
        <v>331</v>
      </c>
      <c r="B33" s="181"/>
      <c r="C33" s="181"/>
      <c r="D33" s="181"/>
      <c r="E33" s="182"/>
      <c r="F33" s="181"/>
      <c r="G33" s="181"/>
      <c r="H33" s="183"/>
      <c r="I33" s="181"/>
      <c r="J33" s="354">
        <f>J32 + J25</f>
        <v>5.9160881200000004</v>
      </c>
      <c r="K33" s="354">
        <f>K32 + K25</f>
        <v>-0.69112375999999998</v>
      </c>
      <c r="L33" s="354">
        <f>L32 + L25</f>
        <v>5.2249643600000004</v>
      </c>
      <c r="M33" s="354">
        <f>M32 + M25</f>
        <v>5.0479559380000012</v>
      </c>
      <c r="N33" s="354">
        <f>IF(AND(N32&gt;0, N25&gt;0),N32 + N25,IF(AND(N32&gt;0, N25&lt;=0),N32,IF(AND(N32&lt;0, N25&gt;=0), N25,0)))</f>
        <v>0.19509936</v>
      </c>
      <c r="O33" s="354"/>
    </row>
    <row r="34" spans="1:15" ht="15" x14ac:dyDescent="0.25">
      <c r="A34" s="184" t="s">
        <v>298</v>
      </c>
      <c r="B34" s="184"/>
      <c r="C34" s="185"/>
      <c r="D34" s="185"/>
      <c r="E34" s="184"/>
      <c r="F34" s="184"/>
      <c r="G34" s="184"/>
      <c r="H34" s="383"/>
      <c r="I34" s="184"/>
      <c r="J34" s="403"/>
      <c r="K34" s="403"/>
      <c r="L34" s="403"/>
      <c r="M34" s="403"/>
      <c r="N34" s="403"/>
      <c r="O34" s="404"/>
    </row>
    <row r="35" spans="1:15" ht="15" x14ac:dyDescent="0.25">
      <c r="A35" s="901" t="s">
        <v>325</v>
      </c>
      <c r="B35" s="902"/>
      <c r="C35" s="902"/>
      <c r="D35" s="902"/>
      <c r="E35" s="902"/>
      <c r="F35" s="902"/>
      <c r="G35" s="902"/>
      <c r="H35" s="902"/>
      <c r="I35" s="902"/>
      <c r="J35" s="902"/>
      <c r="K35" s="902"/>
      <c r="L35" s="902"/>
      <c r="M35" s="902"/>
      <c r="N35" s="902"/>
      <c r="O35" s="903"/>
    </row>
    <row r="36" spans="1:15" ht="60" x14ac:dyDescent="0.25">
      <c r="A36" s="176" t="s">
        <v>89</v>
      </c>
      <c r="B36" s="176" t="s">
        <v>90</v>
      </c>
      <c r="C36" s="177" t="s">
        <v>0</v>
      </c>
      <c r="D36" s="177" t="s">
        <v>124</v>
      </c>
      <c r="E36" s="176" t="s">
        <v>143</v>
      </c>
      <c r="F36" s="176" t="s">
        <v>144</v>
      </c>
      <c r="G36" s="176" t="s">
        <v>13</v>
      </c>
      <c r="H36" s="382" t="s">
        <v>88</v>
      </c>
      <c r="I36" s="176" t="s">
        <v>12</v>
      </c>
      <c r="J36" s="400" t="s">
        <v>200</v>
      </c>
      <c r="K36" s="400" t="s">
        <v>199</v>
      </c>
      <c r="L36" s="400" t="s">
        <v>201</v>
      </c>
      <c r="M36" s="400" t="s">
        <v>149</v>
      </c>
      <c r="N36" s="400" t="s">
        <v>179</v>
      </c>
      <c r="O36" s="400" t="s">
        <v>304</v>
      </c>
    </row>
    <row r="37" spans="1:15" ht="30" x14ac:dyDescent="0.25">
      <c r="A37" s="485" t="s">
        <v>84</v>
      </c>
      <c r="B37" s="485" t="s">
        <v>9</v>
      </c>
      <c r="C37" s="485" t="s">
        <v>183</v>
      </c>
      <c r="D37" s="485" t="s">
        <v>142</v>
      </c>
      <c r="E37" s="329" t="s">
        <v>142</v>
      </c>
      <c r="F37" s="485" t="s">
        <v>142</v>
      </c>
      <c r="G37" s="485" t="s">
        <v>22</v>
      </c>
      <c r="H37" s="93">
        <v>41449</v>
      </c>
      <c r="I37" s="485" t="s">
        <v>172</v>
      </c>
      <c r="J37" s="96">
        <v>7.0349999999999996E-2</v>
      </c>
      <c r="K37" s="96" t="s">
        <v>299</v>
      </c>
      <c r="L37" s="292">
        <v>7.0349999999999996E-2</v>
      </c>
      <c r="M37" s="292">
        <f>+O37*50000/1000000</f>
        <v>6.651E-2</v>
      </c>
      <c r="N37" s="292">
        <f>M37-L37</f>
        <v>-3.8399999999999962E-3</v>
      </c>
      <c r="O37" s="486">
        <v>1.3302</v>
      </c>
    </row>
    <row r="38" spans="1:15" ht="30" x14ac:dyDescent="0.25">
      <c r="A38" s="111" t="s">
        <v>297</v>
      </c>
      <c r="B38" s="99"/>
      <c r="C38" s="2"/>
      <c r="D38" s="2"/>
      <c r="E38" s="2"/>
      <c r="F38" s="2"/>
      <c r="G38" s="2"/>
      <c r="H38" s="3"/>
      <c r="I38" s="2"/>
      <c r="J38" s="293"/>
      <c r="K38" s="293"/>
      <c r="L38" s="491">
        <f>L37</f>
        <v>7.0349999999999996E-2</v>
      </c>
      <c r="M38" s="144"/>
      <c r="N38" s="491">
        <f>IF(N37&gt;0,N37,0)</f>
        <v>0</v>
      </c>
      <c r="O38" s="144"/>
    </row>
    <row r="39" spans="1:15" ht="15" x14ac:dyDescent="0.25">
      <c r="A39" s="99"/>
      <c r="B39" s="99"/>
      <c r="C39" s="99"/>
      <c r="D39" s="99"/>
      <c r="E39" s="99"/>
      <c r="F39" s="99"/>
      <c r="G39" s="99"/>
      <c r="H39" s="388"/>
      <c r="I39" s="99"/>
      <c r="J39" s="144"/>
      <c r="K39" s="144"/>
      <c r="L39" s="144"/>
      <c r="M39" s="144"/>
      <c r="N39" s="144"/>
      <c r="O39" s="144"/>
    </row>
    <row r="40" spans="1:15" ht="15" x14ac:dyDescent="0.25">
      <c r="A40" s="99"/>
      <c r="B40" s="99"/>
      <c r="C40" s="99"/>
      <c r="D40" s="99"/>
      <c r="E40" s="99"/>
      <c r="F40" s="99"/>
      <c r="G40" s="99"/>
      <c r="H40" s="388"/>
      <c r="I40" s="99"/>
      <c r="J40" s="77"/>
      <c r="K40" s="144"/>
      <c r="L40" s="144"/>
      <c r="M40" s="77"/>
      <c r="N40" s="77"/>
      <c r="O40" s="77"/>
    </row>
    <row r="41" spans="1:15" ht="15" x14ac:dyDescent="0.25">
      <c r="A41" s="99"/>
      <c r="B41" s="99"/>
      <c r="C41" s="99"/>
      <c r="D41" s="99"/>
      <c r="E41" s="99"/>
      <c r="F41" s="99"/>
      <c r="G41" s="99"/>
      <c r="H41" s="388"/>
      <c r="I41" s="99"/>
      <c r="J41" s="77"/>
      <c r="K41" s="77"/>
      <c r="L41" s="77"/>
      <c r="M41" s="77"/>
      <c r="N41" s="77"/>
      <c r="O41" s="77"/>
    </row>
    <row r="42" spans="1:15" ht="15" x14ac:dyDescent="0.25">
      <c r="A42" s="99"/>
      <c r="B42" s="99"/>
      <c r="C42" s="99"/>
      <c r="D42" s="99"/>
      <c r="E42" s="99"/>
      <c r="F42" s="99"/>
      <c r="G42" s="99"/>
      <c r="H42" s="388"/>
      <c r="I42" s="99"/>
      <c r="J42" s="77"/>
      <c r="K42" s="77"/>
      <c r="L42" s="77"/>
      <c r="M42" s="77"/>
      <c r="N42" s="77"/>
      <c r="O42" s="77"/>
    </row>
    <row r="43" spans="1:15" ht="15" x14ac:dyDescent="0.25">
      <c r="A43" s="99"/>
      <c r="B43" s="99"/>
      <c r="C43" s="99"/>
      <c r="D43" s="99"/>
      <c r="E43" s="99"/>
      <c r="F43" s="99"/>
      <c r="G43" s="99"/>
      <c r="H43" s="388"/>
      <c r="I43" s="99"/>
      <c r="J43" s="77"/>
      <c r="K43" s="77"/>
      <c r="L43" s="77"/>
      <c r="M43" s="77"/>
      <c r="N43" s="77"/>
      <c r="O43" s="77"/>
    </row>
    <row r="44" spans="1:15" ht="15" x14ac:dyDescent="0.25">
      <c r="A44" s="99"/>
      <c r="B44" s="99"/>
      <c r="C44" s="99"/>
      <c r="D44" s="99"/>
      <c r="E44" s="99"/>
      <c r="F44" s="99"/>
      <c r="G44" s="99"/>
      <c r="H44" s="388"/>
      <c r="I44" s="99"/>
      <c r="J44" s="77"/>
      <c r="K44" s="77"/>
      <c r="L44" s="77"/>
      <c r="M44" s="77"/>
      <c r="N44" s="77"/>
      <c r="O44" s="77"/>
    </row>
    <row r="45" spans="1:15" ht="15" x14ac:dyDescent="0.25">
      <c r="A45" s="99"/>
      <c r="B45" s="99"/>
      <c r="C45" s="99"/>
      <c r="D45" s="99"/>
      <c r="E45" s="99"/>
      <c r="F45" s="99"/>
      <c r="G45" s="99"/>
      <c r="H45" s="388"/>
      <c r="I45" s="99"/>
      <c r="J45" s="77"/>
      <c r="K45" s="77"/>
      <c r="L45" s="77"/>
      <c r="M45" s="77"/>
      <c r="N45" s="77"/>
      <c r="O45" s="77"/>
    </row>
    <row r="46" spans="1:15" ht="15" x14ac:dyDescent="0.25">
      <c r="A46" s="99"/>
      <c r="B46" s="99"/>
      <c r="C46" s="99"/>
      <c r="D46" s="99"/>
      <c r="E46" s="99"/>
      <c r="F46" s="99"/>
      <c r="G46" s="99"/>
      <c r="H46" s="388"/>
      <c r="I46" s="99"/>
      <c r="J46" s="77"/>
      <c r="K46" s="77"/>
      <c r="L46" s="77"/>
      <c r="M46" s="77"/>
      <c r="N46" s="77"/>
      <c r="O46" s="77"/>
    </row>
    <row r="47" spans="1:15" ht="15.6" thickBot="1" x14ac:dyDescent="0.3">
      <c r="A47" s="904"/>
      <c r="B47" s="904"/>
      <c r="C47" s="904"/>
      <c r="D47" s="904"/>
      <c r="E47" s="904"/>
      <c r="F47" s="904"/>
      <c r="G47" s="904"/>
      <c r="H47" s="904"/>
      <c r="I47" s="904"/>
      <c r="J47" s="904"/>
      <c r="K47" s="904"/>
      <c r="L47" s="904"/>
      <c r="M47" s="904"/>
      <c r="N47" s="904"/>
      <c r="O47" s="904"/>
    </row>
    <row r="48" spans="1:15" ht="15.6" x14ac:dyDescent="0.3">
      <c r="A48" s="905"/>
      <c r="B48" s="905"/>
      <c r="C48" s="905"/>
      <c r="D48" s="905"/>
      <c r="E48" s="905"/>
      <c r="F48" s="905"/>
      <c r="G48" s="99"/>
      <c r="H48" s="388"/>
      <c r="I48" s="99"/>
      <c r="J48" s="77"/>
      <c r="K48" s="77"/>
      <c r="L48" s="77"/>
      <c r="M48" s="77"/>
      <c r="N48" s="77"/>
      <c r="O48" s="77"/>
    </row>
    <row r="49" spans="1:15" ht="15.6" x14ac:dyDescent="0.3">
      <c r="A49" s="202"/>
      <c r="B49" s="203"/>
      <c r="C49" s="203"/>
      <c r="D49" s="202"/>
      <c r="E49" s="202"/>
      <c r="F49" s="202"/>
      <c r="G49" s="99"/>
      <c r="H49" s="384"/>
      <c r="I49" s="99"/>
      <c r="J49" s="77"/>
      <c r="K49" s="77"/>
      <c r="L49" s="77"/>
      <c r="M49" s="77"/>
      <c r="N49" s="77"/>
      <c r="O49" s="77"/>
    </row>
    <row r="50" spans="1:15" ht="15" x14ac:dyDescent="0.25">
      <c r="A50" s="391"/>
      <c r="B50" s="391"/>
      <c r="C50" s="391"/>
      <c r="D50" s="391"/>
      <c r="E50" s="391"/>
      <c r="F50" s="391"/>
      <c r="G50" s="99"/>
      <c r="H50" s="388"/>
      <c r="I50" s="99"/>
      <c r="J50" s="77"/>
      <c r="K50" s="77"/>
      <c r="L50" s="77"/>
      <c r="M50" s="77"/>
      <c r="N50" s="77"/>
      <c r="O50" s="77"/>
    </row>
    <row r="51" spans="1:15" ht="15" x14ac:dyDescent="0.25">
      <c r="A51" s="395"/>
      <c r="B51" s="392"/>
      <c r="C51" s="392"/>
      <c r="D51" s="392"/>
      <c r="E51" s="392"/>
      <c r="F51" s="205"/>
      <c r="G51" s="99"/>
      <c r="H51" s="388"/>
      <c r="I51" s="99"/>
      <c r="J51" s="77"/>
      <c r="K51" s="77"/>
      <c r="L51" s="77"/>
      <c r="M51" s="77"/>
      <c r="N51" s="77"/>
      <c r="O51" s="77"/>
    </row>
    <row r="52" spans="1:15" ht="15" x14ac:dyDescent="0.25">
      <c r="A52" s="395"/>
      <c r="B52" s="392"/>
      <c r="C52" s="392"/>
      <c r="D52" s="392"/>
      <c r="E52" s="392"/>
      <c r="F52" s="205"/>
      <c r="G52" s="99"/>
      <c r="H52" s="388"/>
      <c r="I52" s="99"/>
      <c r="J52" s="77"/>
      <c r="K52" s="77"/>
      <c r="L52" s="77"/>
      <c r="M52" s="77"/>
      <c r="N52" s="77"/>
      <c r="O52" s="77"/>
    </row>
    <row r="53" spans="1:15" ht="15" x14ac:dyDescent="0.25">
      <c r="A53" s="391"/>
      <c r="B53" s="392"/>
      <c r="C53" s="392"/>
      <c r="D53" s="392"/>
      <c r="E53" s="392"/>
      <c r="F53" s="205"/>
      <c r="G53" s="99"/>
      <c r="H53" s="388"/>
      <c r="I53" s="99"/>
      <c r="J53" s="77"/>
      <c r="K53" s="77"/>
      <c r="L53" s="77"/>
      <c r="M53" s="77"/>
      <c r="N53" s="77"/>
      <c r="O53" s="77"/>
    </row>
    <row r="54" spans="1:15" ht="15" x14ac:dyDescent="0.25">
      <c r="A54" s="395"/>
      <c r="B54" s="392"/>
      <c r="C54" s="392"/>
      <c r="D54" s="392"/>
      <c r="E54" s="392"/>
      <c r="F54" s="205"/>
      <c r="G54" s="99"/>
      <c r="H54" s="388"/>
      <c r="I54" s="99"/>
      <c r="J54" s="77"/>
      <c r="K54" s="77"/>
      <c r="L54" s="77"/>
      <c r="M54" s="77"/>
      <c r="N54" s="77"/>
      <c r="O54" s="77"/>
    </row>
    <row r="55" spans="1:15" ht="15" x14ac:dyDescent="0.25">
      <c r="A55" s="391"/>
      <c r="B55" s="392"/>
      <c r="C55" s="392"/>
      <c r="D55" s="392"/>
      <c r="E55" s="392"/>
      <c r="F55" s="205"/>
      <c r="G55" s="99"/>
      <c r="H55" s="388"/>
      <c r="I55" s="99"/>
      <c r="J55" s="77"/>
      <c r="K55" s="77"/>
      <c r="L55" s="77"/>
      <c r="M55" s="77"/>
      <c r="N55" s="77"/>
      <c r="O55" s="77"/>
    </row>
    <row r="56" spans="1:15" ht="15" x14ac:dyDescent="0.25">
      <c r="A56" s="391"/>
      <c r="B56" s="392"/>
      <c r="C56" s="392"/>
      <c r="D56" s="392"/>
      <c r="E56" s="392"/>
      <c r="F56" s="205"/>
      <c r="G56" s="99"/>
      <c r="H56" s="388"/>
      <c r="I56" s="99"/>
      <c r="J56" s="77"/>
      <c r="K56" s="77"/>
      <c r="L56" s="77"/>
      <c r="M56" s="77"/>
      <c r="N56" s="77"/>
      <c r="O56" s="77"/>
    </row>
    <row r="57" spans="1:15" ht="16.8" x14ac:dyDescent="0.4">
      <c r="A57" s="391"/>
      <c r="B57" s="393"/>
      <c r="C57" s="393"/>
      <c r="D57" s="393"/>
      <c r="E57" s="393"/>
      <c r="F57" s="207"/>
      <c r="G57" s="99"/>
      <c r="H57" s="389"/>
      <c r="I57" s="99"/>
      <c r="J57" s="77"/>
      <c r="K57" s="77"/>
      <c r="L57" s="77"/>
      <c r="M57" s="77"/>
      <c r="N57" s="77"/>
      <c r="O57" s="77"/>
    </row>
    <row r="58" spans="1:15" ht="16.8" x14ac:dyDescent="0.4">
      <c r="A58" s="391"/>
      <c r="B58" s="394"/>
      <c r="C58" s="394"/>
      <c r="D58" s="394"/>
      <c r="E58" s="394"/>
      <c r="F58" s="210"/>
      <c r="G58" s="99"/>
      <c r="H58" s="390"/>
      <c r="I58" s="99"/>
      <c r="J58" s="77"/>
      <c r="K58" s="77"/>
      <c r="L58" s="77"/>
      <c r="M58" s="77"/>
      <c r="N58" s="77"/>
      <c r="O58" s="77"/>
    </row>
    <row r="59" spans="1:15" ht="15" x14ac:dyDescent="0.25">
      <c r="A59" s="391"/>
      <c r="B59" s="391"/>
      <c r="C59" s="391"/>
      <c r="D59" s="391"/>
      <c r="E59" s="391"/>
      <c r="F59" s="391"/>
      <c r="G59" s="99"/>
      <c r="H59" s="388"/>
      <c r="I59" s="99"/>
      <c r="J59" s="77"/>
      <c r="K59" s="77"/>
      <c r="L59" s="77"/>
      <c r="M59" s="77"/>
      <c r="N59" s="77"/>
      <c r="O59" s="77"/>
    </row>
    <row r="60" spans="1:15" ht="15" x14ac:dyDescent="0.25">
      <c r="A60" s="99"/>
      <c r="B60" s="99"/>
      <c r="C60" s="99"/>
      <c r="D60" s="99"/>
      <c r="E60" s="99"/>
      <c r="F60" s="99"/>
      <c r="G60" s="99"/>
      <c r="H60" s="388"/>
      <c r="I60" s="99"/>
      <c r="J60" s="77"/>
      <c r="K60" s="77"/>
      <c r="L60" s="77"/>
      <c r="M60" s="77"/>
      <c r="N60" s="77"/>
      <c r="O60" s="77"/>
    </row>
    <row r="61" spans="1:15" ht="15" x14ac:dyDescent="0.25">
      <c r="A61" s="99"/>
      <c r="B61" s="99"/>
      <c r="C61" s="99"/>
      <c r="D61" s="99"/>
      <c r="E61" s="99"/>
      <c r="F61" s="99"/>
      <c r="G61" s="99"/>
      <c r="H61" s="388"/>
      <c r="I61" s="99"/>
      <c r="J61" s="77"/>
      <c r="K61" s="77"/>
      <c r="L61" s="77"/>
      <c r="M61" s="77"/>
      <c r="N61" s="77"/>
      <c r="O61" s="77"/>
    </row>
    <row r="62" spans="1:15" ht="15" x14ac:dyDescent="0.25">
      <c r="A62" s="99"/>
      <c r="B62" s="99"/>
      <c r="C62" s="99"/>
      <c r="D62" s="99"/>
      <c r="E62" s="99"/>
      <c r="F62" s="99"/>
      <c r="G62" s="99"/>
      <c r="H62" s="388"/>
      <c r="I62" s="99"/>
      <c r="J62" s="77"/>
      <c r="K62" s="77"/>
      <c r="L62" s="77"/>
      <c r="M62" s="77"/>
      <c r="N62" s="77"/>
      <c r="O62" s="77"/>
    </row>
    <row r="63" spans="1:15" ht="15" x14ac:dyDescent="0.25">
      <c r="A63" s="99"/>
      <c r="B63" s="99"/>
      <c r="C63" s="99"/>
      <c r="D63" s="99"/>
      <c r="E63" s="99"/>
      <c r="F63" s="99"/>
      <c r="G63" s="99"/>
      <c r="H63" s="388"/>
      <c r="I63" s="99"/>
      <c r="J63" s="77"/>
      <c r="K63" s="77"/>
      <c r="L63" s="77"/>
      <c r="M63" s="77"/>
      <c r="N63" s="77"/>
      <c r="O63" s="77"/>
    </row>
    <row r="64" spans="1:15" ht="15" x14ac:dyDescent="0.25">
      <c r="A64" s="99"/>
      <c r="B64" s="99"/>
      <c r="C64" s="99"/>
      <c r="D64" s="99"/>
      <c r="E64" s="99"/>
      <c r="F64" s="99"/>
      <c r="G64" s="99"/>
      <c r="H64" s="388"/>
      <c r="I64" s="99"/>
      <c r="J64" s="77"/>
      <c r="K64" s="77"/>
      <c r="L64" s="77"/>
      <c r="M64" s="77"/>
      <c r="N64" s="77"/>
      <c r="O64" s="77"/>
    </row>
    <row r="65" spans="1:15" ht="15" x14ac:dyDescent="0.25">
      <c r="A65" s="99"/>
      <c r="B65" s="99"/>
      <c r="C65" s="99"/>
      <c r="D65" s="99"/>
      <c r="E65" s="99"/>
      <c r="F65" s="99"/>
      <c r="G65" s="99"/>
      <c r="H65" s="388"/>
      <c r="I65" s="99"/>
      <c r="J65" s="77"/>
      <c r="K65" s="77"/>
      <c r="L65" s="77"/>
      <c r="M65" s="77"/>
      <c r="N65" s="77"/>
      <c r="O65" s="77"/>
    </row>
    <row r="66" spans="1:15" ht="15" x14ac:dyDescent="0.25">
      <c r="A66" s="99"/>
      <c r="B66" s="99"/>
      <c r="C66" s="99"/>
      <c r="D66" s="99"/>
      <c r="E66" s="99"/>
      <c r="F66" s="99"/>
      <c r="G66" s="99"/>
      <c r="H66" s="388"/>
      <c r="I66" s="99"/>
      <c r="J66" s="77"/>
      <c r="K66" s="77"/>
      <c r="L66" s="77"/>
      <c r="M66" s="77"/>
      <c r="N66" s="77"/>
      <c r="O66" s="77"/>
    </row>
    <row r="67" spans="1:15" ht="15" x14ac:dyDescent="0.25">
      <c r="A67" s="99"/>
      <c r="B67" s="99"/>
      <c r="C67" s="99"/>
      <c r="D67" s="99"/>
      <c r="E67" s="99"/>
      <c r="F67" s="99"/>
      <c r="G67" s="99"/>
      <c r="H67" s="388"/>
      <c r="I67" s="99"/>
      <c r="J67" s="77"/>
      <c r="K67" s="77"/>
      <c r="L67" s="77"/>
      <c r="M67" s="77"/>
      <c r="N67" s="77"/>
      <c r="O67" s="77"/>
    </row>
    <row r="68" spans="1:15" ht="15" x14ac:dyDescent="0.25">
      <c r="A68" s="99"/>
      <c r="B68" s="99"/>
      <c r="C68" s="99"/>
      <c r="D68" s="99"/>
      <c r="E68" s="99"/>
      <c r="F68" s="99"/>
      <c r="G68" s="99"/>
      <c r="H68" s="388"/>
      <c r="I68" s="99"/>
      <c r="J68" s="77"/>
      <c r="K68" s="77"/>
      <c r="L68" s="77"/>
      <c r="M68" s="77"/>
      <c r="N68" s="77"/>
      <c r="O68" s="77"/>
    </row>
    <row r="69" spans="1:15" ht="15" x14ac:dyDescent="0.25">
      <c r="A69" s="99"/>
      <c r="B69" s="99"/>
      <c r="C69" s="99"/>
      <c r="D69" s="99"/>
      <c r="E69" s="99"/>
      <c r="F69" s="99"/>
      <c r="G69" s="99"/>
      <c r="H69" s="388"/>
      <c r="I69" s="99"/>
      <c r="J69" s="77"/>
      <c r="K69" s="77"/>
      <c r="L69" s="77"/>
      <c r="M69" s="77"/>
      <c r="N69" s="77"/>
      <c r="O69" s="77"/>
    </row>
    <row r="70" spans="1:15" ht="15" x14ac:dyDescent="0.25">
      <c r="A70" s="99"/>
      <c r="B70" s="99"/>
      <c r="C70" s="99"/>
      <c r="D70" s="99"/>
      <c r="E70" s="99"/>
      <c r="F70" s="99"/>
      <c r="G70" s="99"/>
      <c r="H70" s="388"/>
      <c r="I70" s="99"/>
      <c r="J70" s="77"/>
      <c r="K70" s="77"/>
      <c r="L70" s="77"/>
      <c r="M70" s="77"/>
      <c r="N70" s="77"/>
      <c r="O70" s="77"/>
    </row>
    <row r="71" spans="1:15" ht="15" x14ac:dyDescent="0.25">
      <c r="A71" s="99"/>
      <c r="B71" s="99"/>
      <c r="C71" s="99"/>
      <c r="D71" s="99"/>
      <c r="E71" s="99"/>
      <c r="F71" s="99"/>
      <c r="G71" s="99"/>
      <c r="H71" s="388"/>
      <c r="I71" s="99"/>
      <c r="J71" s="77"/>
      <c r="K71" s="77"/>
      <c r="L71" s="77"/>
      <c r="M71" s="77"/>
      <c r="N71" s="77"/>
      <c r="O71" s="77"/>
    </row>
    <row r="72" spans="1:15" ht="15" x14ac:dyDescent="0.25">
      <c r="A72" s="99"/>
      <c r="B72" s="99"/>
      <c r="C72" s="99"/>
      <c r="D72" s="99"/>
      <c r="E72" s="99"/>
      <c r="F72" s="99"/>
      <c r="G72" s="99"/>
      <c r="H72" s="388"/>
      <c r="I72" s="99"/>
      <c r="J72" s="77"/>
      <c r="K72" s="77"/>
      <c r="L72" s="77"/>
      <c r="M72" s="77"/>
      <c r="N72" s="77"/>
      <c r="O72" s="77"/>
    </row>
    <row r="73" spans="1:15" ht="15" x14ac:dyDescent="0.25">
      <c r="A73" s="99"/>
      <c r="B73" s="99"/>
      <c r="C73" s="99"/>
      <c r="D73" s="99"/>
      <c r="E73" s="99"/>
      <c r="F73" s="99"/>
      <c r="G73" s="99"/>
      <c r="H73" s="388"/>
      <c r="I73" s="99"/>
      <c r="J73" s="77"/>
      <c r="K73" s="77"/>
      <c r="L73" s="77"/>
      <c r="M73" s="77"/>
      <c r="N73" s="77"/>
      <c r="O73" s="77"/>
    </row>
    <row r="74" spans="1:15" ht="15" x14ac:dyDescent="0.25">
      <c r="A74" s="99"/>
      <c r="B74" s="99"/>
      <c r="C74" s="99"/>
      <c r="D74" s="99"/>
      <c r="E74" s="99"/>
      <c r="F74" s="99"/>
      <c r="G74" s="99"/>
      <c r="H74" s="388"/>
      <c r="I74" s="99"/>
      <c r="J74" s="77"/>
      <c r="K74" s="77"/>
      <c r="L74" s="77"/>
      <c r="M74" s="77"/>
      <c r="N74" s="77"/>
      <c r="O74" s="77"/>
    </row>
    <row r="75" spans="1:15" ht="15" x14ac:dyDescent="0.25">
      <c r="A75" s="99"/>
      <c r="B75" s="99"/>
      <c r="C75" s="99"/>
      <c r="D75" s="99"/>
      <c r="E75" s="99"/>
      <c r="F75" s="99"/>
      <c r="G75" s="99"/>
      <c r="H75" s="388"/>
      <c r="I75" s="99"/>
      <c r="J75" s="77"/>
      <c r="K75" s="77"/>
      <c r="L75" s="77"/>
      <c r="M75" s="77"/>
      <c r="N75" s="77"/>
      <c r="O75" s="77"/>
    </row>
    <row r="76" spans="1:15" ht="15" x14ac:dyDescent="0.25">
      <c r="A76" s="99"/>
      <c r="B76" s="99"/>
      <c r="C76" s="99"/>
      <c r="D76" s="99"/>
      <c r="E76" s="99"/>
      <c r="F76" s="99"/>
      <c r="G76" s="99"/>
      <c r="H76" s="388"/>
      <c r="I76" s="99"/>
      <c r="J76" s="77"/>
      <c r="K76" s="77"/>
      <c r="L76" s="77"/>
      <c r="M76" s="77"/>
      <c r="N76" s="77"/>
      <c r="O76" s="77"/>
    </row>
    <row r="77" spans="1:15" ht="15" x14ac:dyDescent="0.25">
      <c r="A77" s="99"/>
      <c r="B77" s="99"/>
      <c r="C77" s="99"/>
      <c r="D77" s="99"/>
      <c r="E77" s="99"/>
      <c r="F77" s="99"/>
      <c r="G77" s="99"/>
      <c r="H77" s="388"/>
      <c r="I77" s="99"/>
      <c r="J77" s="77"/>
      <c r="K77" s="77"/>
      <c r="L77" s="77"/>
      <c r="M77" s="77"/>
      <c r="N77" s="77"/>
      <c r="O77" s="77"/>
    </row>
    <row r="78" spans="1:15" ht="15" x14ac:dyDescent="0.25">
      <c r="A78" s="99"/>
      <c r="B78" s="99"/>
      <c r="C78" s="99"/>
      <c r="D78" s="99"/>
      <c r="E78" s="99"/>
      <c r="F78" s="99"/>
      <c r="G78" s="99"/>
      <c r="H78" s="388"/>
      <c r="I78" s="99"/>
      <c r="J78" s="77"/>
      <c r="K78" s="77"/>
      <c r="L78" s="77"/>
      <c r="M78" s="77"/>
      <c r="N78" s="77"/>
      <c r="O78" s="77"/>
    </row>
    <row r="79" spans="1:15" ht="15" x14ac:dyDescent="0.25">
      <c r="A79" s="99"/>
      <c r="B79" s="99"/>
      <c r="C79" s="99"/>
      <c r="D79" s="99"/>
      <c r="E79" s="99"/>
      <c r="F79" s="99"/>
      <c r="G79" s="99"/>
      <c r="H79" s="388"/>
      <c r="I79" s="99"/>
      <c r="J79" s="77"/>
      <c r="K79" s="77"/>
      <c r="L79" s="77"/>
      <c r="M79" s="77"/>
      <c r="N79" s="77"/>
      <c r="O79" s="77"/>
    </row>
    <row r="80" spans="1:15" ht="15" x14ac:dyDescent="0.25">
      <c r="A80" s="99"/>
      <c r="B80" s="99"/>
      <c r="C80" s="99"/>
      <c r="D80" s="99"/>
      <c r="E80" s="99"/>
      <c r="F80" s="99"/>
      <c r="G80" s="99"/>
      <c r="H80" s="388"/>
      <c r="I80" s="99"/>
      <c r="J80" s="77"/>
      <c r="K80" s="77"/>
      <c r="L80" s="77"/>
      <c r="M80" s="77"/>
      <c r="N80" s="77"/>
      <c r="O80" s="77"/>
    </row>
    <row r="81" spans="1:15" ht="15" x14ac:dyDescent="0.25">
      <c r="A81" s="99"/>
      <c r="B81" s="99"/>
      <c r="C81" s="99"/>
      <c r="D81" s="99"/>
      <c r="E81" s="99"/>
      <c r="F81" s="99"/>
      <c r="G81" s="99"/>
      <c r="H81" s="388"/>
      <c r="I81" s="99"/>
      <c r="J81" s="77"/>
      <c r="K81" s="77"/>
      <c r="L81" s="77"/>
      <c r="M81" s="77"/>
      <c r="N81" s="77"/>
      <c r="O81" s="77"/>
    </row>
    <row r="82" spans="1:15" ht="15" x14ac:dyDescent="0.25">
      <c r="A82" s="99"/>
      <c r="B82" s="99"/>
      <c r="C82" s="99"/>
      <c r="D82" s="99"/>
      <c r="E82" s="99"/>
      <c r="F82" s="99"/>
      <c r="G82" s="99"/>
      <c r="H82" s="388"/>
      <c r="I82" s="99"/>
      <c r="J82" s="77"/>
      <c r="K82" s="77"/>
      <c r="L82" s="77"/>
      <c r="M82" s="77"/>
      <c r="N82" s="77"/>
      <c r="O82" s="77"/>
    </row>
    <row r="83" spans="1:15" ht="15" x14ac:dyDescent="0.25">
      <c r="A83" s="99"/>
      <c r="B83" s="99"/>
      <c r="C83" s="99"/>
      <c r="D83" s="99"/>
      <c r="E83" s="99"/>
      <c r="F83" s="99"/>
      <c r="G83" s="99"/>
      <c r="H83" s="388"/>
      <c r="I83" s="99"/>
      <c r="J83" s="77"/>
      <c r="K83" s="77"/>
      <c r="L83" s="77"/>
      <c r="M83" s="77"/>
      <c r="N83" s="77"/>
      <c r="O83" s="77"/>
    </row>
    <row r="84" spans="1:15" ht="15" x14ac:dyDescent="0.25">
      <c r="A84" s="99"/>
      <c r="B84" s="99"/>
      <c r="C84" s="99"/>
      <c r="D84" s="99"/>
      <c r="E84" s="99"/>
      <c r="F84" s="99"/>
      <c r="G84" s="99"/>
      <c r="H84" s="388"/>
      <c r="I84" s="99"/>
      <c r="J84" s="77"/>
      <c r="K84" s="77"/>
      <c r="L84" s="77"/>
      <c r="M84" s="77"/>
      <c r="N84" s="77"/>
      <c r="O84" s="77"/>
    </row>
    <row r="85" spans="1:15" ht="15" x14ac:dyDescent="0.25">
      <c r="A85" s="99"/>
      <c r="B85" s="99"/>
      <c r="C85" s="99"/>
      <c r="D85" s="99"/>
      <c r="E85" s="99"/>
      <c r="F85" s="99"/>
      <c r="G85" s="99"/>
      <c r="H85" s="388"/>
      <c r="I85" s="99"/>
      <c r="J85" s="77"/>
      <c r="K85" s="77"/>
      <c r="L85" s="77"/>
      <c r="M85" s="77"/>
      <c r="N85" s="77"/>
      <c r="O85" s="77"/>
    </row>
    <row r="86" spans="1:15" ht="15" x14ac:dyDescent="0.25">
      <c r="A86" s="99"/>
      <c r="B86" s="99"/>
      <c r="C86" s="99"/>
      <c r="D86" s="99"/>
      <c r="E86" s="99"/>
      <c r="F86" s="99"/>
      <c r="G86" s="99"/>
      <c r="H86" s="388"/>
      <c r="I86" s="99"/>
      <c r="J86" s="77"/>
      <c r="K86" s="77"/>
      <c r="L86" s="77"/>
      <c r="M86" s="77"/>
      <c r="N86" s="77"/>
      <c r="O86" s="77"/>
    </row>
    <row r="87" spans="1:15" ht="15" x14ac:dyDescent="0.25">
      <c r="A87" s="99"/>
      <c r="B87" s="99"/>
      <c r="C87" s="99"/>
      <c r="D87" s="99"/>
      <c r="E87" s="99"/>
      <c r="F87" s="99"/>
      <c r="G87" s="99"/>
      <c r="H87" s="388"/>
      <c r="I87" s="99"/>
      <c r="J87" s="77"/>
      <c r="K87" s="77"/>
      <c r="L87" s="77"/>
      <c r="M87" s="77"/>
      <c r="N87" s="77"/>
      <c r="O87" s="77"/>
    </row>
    <row r="88" spans="1:15" ht="15" x14ac:dyDescent="0.25">
      <c r="A88" s="99"/>
      <c r="B88" s="99"/>
      <c r="C88" s="99"/>
      <c r="D88" s="99"/>
      <c r="E88" s="99"/>
      <c r="F88" s="99"/>
      <c r="G88" s="99"/>
      <c r="H88" s="388"/>
      <c r="I88" s="99"/>
      <c r="J88" s="77"/>
      <c r="K88" s="77"/>
      <c r="L88" s="77"/>
      <c r="M88" s="77"/>
      <c r="N88" s="77"/>
      <c r="O88" s="77"/>
    </row>
    <row r="89" spans="1:15" ht="15" x14ac:dyDescent="0.25">
      <c r="A89" s="99"/>
      <c r="B89" s="99"/>
      <c r="C89" s="99"/>
      <c r="D89" s="99"/>
      <c r="E89" s="99"/>
      <c r="F89" s="99"/>
      <c r="G89" s="99"/>
      <c r="H89" s="388"/>
      <c r="I89" s="99"/>
      <c r="J89" s="77"/>
      <c r="K89" s="77"/>
      <c r="L89" s="77"/>
      <c r="M89" s="77"/>
      <c r="N89" s="77"/>
      <c r="O89" s="77"/>
    </row>
    <row r="90" spans="1:15" ht="15" x14ac:dyDescent="0.25">
      <c r="A90" s="99"/>
      <c r="B90" s="99"/>
      <c r="C90" s="99"/>
      <c r="D90" s="99"/>
      <c r="E90" s="99"/>
      <c r="F90" s="99"/>
      <c r="G90" s="99"/>
      <c r="H90" s="388"/>
      <c r="I90" s="99"/>
      <c r="J90" s="77"/>
      <c r="K90" s="77"/>
      <c r="L90" s="77"/>
      <c r="M90" s="77"/>
      <c r="N90" s="77"/>
      <c r="O90" s="77"/>
    </row>
    <row r="91" spans="1:15" ht="15" x14ac:dyDescent="0.25">
      <c r="A91" s="99"/>
      <c r="B91" s="99"/>
      <c r="C91" s="99"/>
      <c r="D91" s="99"/>
      <c r="E91" s="99"/>
      <c r="F91" s="99"/>
      <c r="G91" s="99"/>
      <c r="H91" s="388"/>
      <c r="I91" s="99"/>
      <c r="J91" s="77"/>
      <c r="K91" s="77"/>
      <c r="L91" s="77"/>
      <c r="M91" s="77"/>
      <c r="N91" s="77"/>
      <c r="O91" s="77"/>
    </row>
    <row r="92" spans="1:15" ht="15" x14ac:dyDescent="0.25">
      <c r="A92" s="99"/>
      <c r="B92" s="99"/>
      <c r="C92" s="99"/>
      <c r="D92" s="99"/>
      <c r="E92" s="99"/>
      <c r="F92" s="99"/>
      <c r="G92" s="99"/>
      <c r="H92" s="388"/>
      <c r="I92" s="99"/>
      <c r="J92" s="77"/>
      <c r="K92" s="77"/>
      <c r="L92" s="77"/>
      <c r="M92" s="77"/>
      <c r="N92" s="77"/>
      <c r="O92" s="77"/>
    </row>
    <row r="93" spans="1:15" ht="15" x14ac:dyDescent="0.25">
      <c r="A93" s="99"/>
      <c r="B93" s="99"/>
      <c r="C93" s="99"/>
      <c r="D93" s="99"/>
      <c r="E93" s="99"/>
      <c r="F93" s="99"/>
      <c r="G93" s="99"/>
      <c r="H93" s="388"/>
      <c r="I93" s="99"/>
      <c r="J93" s="77"/>
      <c r="K93" s="77"/>
      <c r="L93" s="77"/>
      <c r="M93" s="77"/>
      <c r="N93" s="77"/>
      <c r="O93" s="77"/>
    </row>
    <row r="94" spans="1:15" ht="15" x14ac:dyDescent="0.25">
      <c r="A94" s="99"/>
      <c r="B94" s="99"/>
      <c r="C94" s="99"/>
      <c r="D94" s="99"/>
      <c r="E94" s="99"/>
      <c r="F94" s="99"/>
      <c r="G94" s="99"/>
      <c r="H94" s="388"/>
      <c r="I94" s="99"/>
      <c r="J94" s="77"/>
      <c r="K94" s="77"/>
      <c r="L94" s="77"/>
      <c r="M94" s="77"/>
      <c r="N94" s="77"/>
      <c r="O94" s="77"/>
    </row>
    <row r="95" spans="1:15" ht="15" x14ac:dyDescent="0.25">
      <c r="A95" s="99"/>
      <c r="B95" s="99"/>
      <c r="C95" s="99"/>
      <c r="D95" s="99"/>
      <c r="E95" s="99"/>
      <c r="F95" s="99"/>
      <c r="G95" s="99"/>
      <c r="H95" s="388"/>
      <c r="I95" s="99"/>
      <c r="J95" s="77"/>
      <c r="K95" s="77"/>
      <c r="L95" s="77"/>
      <c r="M95" s="77"/>
      <c r="N95" s="77"/>
      <c r="O95" s="77"/>
    </row>
    <row r="96" spans="1:15" ht="15" x14ac:dyDescent="0.25">
      <c r="A96" s="99"/>
      <c r="B96" s="99"/>
      <c r="C96" s="99"/>
      <c r="D96" s="99"/>
      <c r="E96" s="99"/>
      <c r="F96" s="99"/>
      <c r="G96" s="99"/>
      <c r="H96" s="388"/>
      <c r="I96" s="99"/>
      <c r="J96" s="77"/>
      <c r="K96" s="77"/>
      <c r="L96" s="77"/>
      <c r="M96" s="77"/>
      <c r="N96" s="77"/>
      <c r="O96" s="77"/>
    </row>
    <row r="97" spans="1:15" ht="15" x14ac:dyDescent="0.25">
      <c r="A97" s="99"/>
      <c r="B97" s="99"/>
      <c r="C97" s="99"/>
      <c r="D97" s="99"/>
      <c r="E97" s="99"/>
      <c r="F97" s="99"/>
      <c r="G97" s="99"/>
      <c r="H97" s="388"/>
      <c r="I97" s="99"/>
      <c r="J97" s="77"/>
      <c r="K97" s="77"/>
      <c r="L97" s="77"/>
      <c r="M97" s="77"/>
      <c r="N97" s="77"/>
      <c r="O97" s="77"/>
    </row>
    <row r="98" spans="1:15" ht="15" x14ac:dyDescent="0.25">
      <c r="A98" s="99"/>
      <c r="B98" s="99"/>
      <c r="C98" s="99"/>
      <c r="D98" s="99"/>
      <c r="E98" s="99"/>
      <c r="F98" s="99"/>
      <c r="G98" s="99"/>
      <c r="H98" s="388"/>
      <c r="I98" s="99"/>
      <c r="J98" s="77"/>
      <c r="K98" s="77"/>
      <c r="L98" s="77"/>
      <c r="M98" s="77"/>
      <c r="N98" s="77"/>
      <c r="O98" s="77"/>
    </row>
    <row r="99" spans="1:15" ht="15" x14ac:dyDescent="0.25">
      <c r="A99" s="99"/>
      <c r="B99" s="99"/>
      <c r="C99" s="99"/>
      <c r="D99" s="99"/>
      <c r="E99" s="99"/>
      <c r="F99" s="99"/>
      <c r="G99" s="99"/>
      <c r="H99" s="388"/>
      <c r="I99" s="99"/>
      <c r="J99" s="77"/>
      <c r="K99" s="77"/>
      <c r="L99" s="77"/>
      <c r="M99" s="77"/>
      <c r="N99" s="77"/>
      <c r="O99" s="77"/>
    </row>
    <row r="100" spans="1:15" ht="15.6" thickBot="1" x14ac:dyDescent="0.3">
      <c r="A100" s="99"/>
      <c r="B100" s="99"/>
      <c r="C100" s="99"/>
      <c r="D100" s="99"/>
      <c r="E100" s="99"/>
      <c r="F100" s="99"/>
      <c r="G100" s="99"/>
      <c r="H100" s="388"/>
      <c r="I100" s="99"/>
      <c r="J100" s="77"/>
      <c r="K100" s="77"/>
      <c r="L100" s="77"/>
      <c r="M100" s="77"/>
      <c r="N100" s="77"/>
      <c r="O100" s="77"/>
    </row>
    <row r="101" spans="1:15" ht="15" x14ac:dyDescent="0.25">
      <c r="A101" s="894" t="s">
        <v>195</v>
      </c>
      <c r="B101" s="895"/>
      <c r="C101" s="895"/>
      <c r="D101" s="895"/>
      <c r="E101" s="895"/>
      <c r="F101" s="896"/>
      <c r="G101" s="99"/>
      <c r="H101" s="388"/>
      <c r="I101" s="99"/>
      <c r="J101" s="77"/>
      <c r="K101" s="77"/>
      <c r="L101" s="77"/>
      <c r="M101" s="77"/>
      <c r="N101" s="77"/>
      <c r="O101" s="77"/>
    </row>
    <row r="102" spans="1:15" ht="15.6" thickBot="1" x14ac:dyDescent="0.3">
      <c r="A102" s="897"/>
      <c r="B102" s="898"/>
      <c r="C102" s="898"/>
      <c r="D102" s="898"/>
      <c r="E102" s="898"/>
      <c r="F102" s="899"/>
      <c r="G102" s="99"/>
      <c r="H102" s="388"/>
      <c r="I102" s="99"/>
      <c r="J102" s="77"/>
      <c r="K102" s="77"/>
      <c r="L102" s="77"/>
      <c r="M102" s="77"/>
      <c r="N102" s="77"/>
      <c r="O102" s="77"/>
    </row>
    <row r="103" spans="1:15" ht="15" x14ac:dyDescent="0.25">
      <c r="A103" s="162" t="s">
        <v>5</v>
      </c>
      <c r="B103" s="161" t="s">
        <v>6</v>
      </c>
      <c r="C103" s="161" t="s">
        <v>13</v>
      </c>
      <c r="D103" s="161" t="s">
        <v>82</v>
      </c>
      <c r="E103" s="161" t="s">
        <v>115</v>
      </c>
      <c r="F103" s="163" t="s">
        <v>116</v>
      </c>
      <c r="G103" s="99"/>
      <c r="H103" s="388"/>
      <c r="I103" s="99"/>
      <c r="J103" s="77"/>
      <c r="K103" s="77"/>
      <c r="L103" s="77"/>
      <c r="M103" s="77"/>
      <c r="N103" s="77"/>
      <c r="O103" s="77"/>
    </row>
    <row r="104" spans="1:15" ht="15" x14ac:dyDescent="0.25">
      <c r="A104" s="396" t="s">
        <v>239</v>
      </c>
      <c r="B104" s="106"/>
      <c r="C104" s="106"/>
      <c r="D104" s="106"/>
      <c r="E104" s="106"/>
      <c r="F104" s="107"/>
      <c r="G104" s="99"/>
      <c r="H104" s="388"/>
      <c r="I104" s="99"/>
      <c r="J104" s="77"/>
      <c r="K104" s="77"/>
      <c r="L104" s="77"/>
      <c r="M104" s="77"/>
      <c r="N104" s="77"/>
      <c r="O104" s="77"/>
    </row>
    <row r="105" spans="1:15" ht="30" x14ac:dyDescent="0.25">
      <c r="A105" s="396" t="s">
        <v>91</v>
      </c>
      <c r="B105" s="106" t="s">
        <v>190</v>
      </c>
      <c r="C105" s="106" t="s">
        <v>18</v>
      </c>
      <c r="D105" s="106" t="s">
        <v>8</v>
      </c>
      <c r="E105" s="106" t="s">
        <v>36</v>
      </c>
      <c r="F105" s="107" t="s">
        <v>29</v>
      </c>
      <c r="G105" s="99"/>
      <c r="H105" s="388"/>
      <c r="I105" s="99"/>
      <c r="J105" s="77"/>
      <c r="K105" s="77"/>
      <c r="L105" s="77"/>
      <c r="M105" s="77"/>
      <c r="N105" s="77"/>
      <c r="O105" s="77"/>
    </row>
    <row r="106" spans="1:15" ht="30" x14ac:dyDescent="0.25">
      <c r="A106" s="397" t="s">
        <v>27</v>
      </c>
      <c r="B106" s="106" t="s">
        <v>192</v>
      </c>
      <c r="C106" s="106" t="s">
        <v>15</v>
      </c>
      <c r="D106" s="106" t="s">
        <v>84</v>
      </c>
      <c r="E106" s="106" t="s">
        <v>35</v>
      </c>
      <c r="F106" s="107" t="s">
        <v>28</v>
      </c>
      <c r="G106" s="99"/>
      <c r="H106" s="388"/>
      <c r="I106" s="99"/>
      <c r="J106" s="77"/>
      <c r="K106" s="77"/>
      <c r="L106" s="77"/>
      <c r="M106" s="77"/>
      <c r="N106" s="77"/>
      <c r="O106" s="77"/>
    </row>
    <row r="107" spans="1:15" ht="30" x14ac:dyDescent="0.25">
      <c r="A107" s="397" t="s">
        <v>125</v>
      </c>
      <c r="B107" s="106" t="s">
        <v>191</v>
      </c>
      <c r="C107" s="106" t="s">
        <v>16</v>
      </c>
      <c r="D107" s="106"/>
      <c r="E107" s="106" t="s">
        <v>46</v>
      </c>
      <c r="F107" s="107" t="s">
        <v>34</v>
      </c>
      <c r="G107" s="99"/>
      <c r="H107" s="388"/>
      <c r="I107" s="99"/>
      <c r="J107" s="77"/>
      <c r="K107" s="77"/>
      <c r="L107" s="77"/>
      <c r="M107" s="77"/>
      <c r="N107" s="77"/>
      <c r="O107" s="77"/>
    </row>
    <row r="108" spans="1:15" ht="15" x14ac:dyDescent="0.25">
      <c r="A108" s="396" t="s">
        <v>128</v>
      </c>
      <c r="B108" s="106" t="s">
        <v>193</v>
      </c>
      <c r="C108" s="106" t="s">
        <v>20</v>
      </c>
      <c r="D108" s="106"/>
      <c r="E108" s="106" t="s">
        <v>44</v>
      </c>
      <c r="F108" s="107" t="s">
        <v>142</v>
      </c>
      <c r="G108" s="99"/>
      <c r="H108" s="388"/>
      <c r="I108" s="99"/>
      <c r="J108" s="77"/>
      <c r="K108" s="77"/>
      <c r="L108" s="77"/>
      <c r="M108" s="77"/>
      <c r="N108" s="77"/>
      <c r="O108" s="77"/>
    </row>
    <row r="109" spans="1:15" ht="15" x14ac:dyDescent="0.25">
      <c r="A109" s="397" t="s">
        <v>326</v>
      </c>
      <c r="B109" s="106"/>
      <c r="C109" s="106" t="s">
        <v>19</v>
      </c>
      <c r="D109" s="106"/>
      <c r="E109" s="106" t="s">
        <v>37</v>
      </c>
      <c r="F109" s="107" t="s">
        <v>30</v>
      </c>
      <c r="G109" s="99"/>
      <c r="H109" s="388"/>
      <c r="I109" s="99"/>
      <c r="J109" s="77"/>
      <c r="K109" s="77"/>
      <c r="L109" s="77"/>
      <c r="M109" s="77"/>
      <c r="N109" s="77"/>
      <c r="O109" s="77"/>
    </row>
    <row r="110" spans="1:15" ht="30" x14ac:dyDescent="0.25">
      <c r="A110" s="396" t="s">
        <v>308</v>
      </c>
      <c r="B110" s="106"/>
      <c r="C110" s="106" t="s">
        <v>21</v>
      </c>
      <c r="D110" s="106"/>
      <c r="E110" s="106" t="s">
        <v>117</v>
      </c>
      <c r="F110" s="107" t="s">
        <v>121</v>
      </c>
      <c r="G110" s="99"/>
      <c r="H110" s="388"/>
      <c r="I110" s="99"/>
      <c r="J110" s="77"/>
      <c r="K110" s="77"/>
      <c r="L110" s="77"/>
      <c r="M110" s="77"/>
      <c r="N110" s="77"/>
      <c r="O110" s="77"/>
    </row>
    <row r="111" spans="1:15" ht="30" x14ac:dyDescent="0.25">
      <c r="A111" s="396" t="s">
        <v>309</v>
      </c>
      <c r="B111" s="106"/>
      <c r="C111" s="106" t="s">
        <v>14</v>
      </c>
      <c r="D111" s="106"/>
      <c r="E111" s="106" t="s">
        <v>42</v>
      </c>
      <c r="F111" s="107" t="s">
        <v>40</v>
      </c>
      <c r="G111" s="99"/>
      <c r="H111" s="388"/>
      <c r="I111" s="99"/>
      <c r="J111" s="77"/>
      <c r="K111" s="77"/>
      <c r="L111" s="77"/>
      <c r="M111" s="77"/>
      <c r="N111" s="77"/>
      <c r="O111" s="77"/>
    </row>
    <row r="112" spans="1:15" ht="30" x14ac:dyDescent="0.25">
      <c r="A112" s="396" t="s">
        <v>307</v>
      </c>
      <c r="B112" s="106"/>
      <c r="C112" s="106" t="s">
        <v>17</v>
      </c>
      <c r="D112" s="106"/>
      <c r="E112" s="106" t="s">
        <v>38</v>
      </c>
      <c r="F112" s="107" t="s">
        <v>31</v>
      </c>
      <c r="G112" s="99"/>
      <c r="H112" s="388"/>
      <c r="I112" s="99"/>
      <c r="J112" s="77"/>
      <c r="K112" s="77"/>
      <c r="L112" s="77"/>
      <c r="M112" s="77"/>
      <c r="N112" s="77"/>
      <c r="O112" s="77"/>
    </row>
    <row r="113" spans="1:15" ht="15" x14ac:dyDescent="0.25">
      <c r="A113" s="397" t="s">
        <v>4</v>
      </c>
      <c r="B113" s="106"/>
      <c r="C113" s="106"/>
      <c r="D113" s="106"/>
      <c r="E113" s="106" t="s">
        <v>41</v>
      </c>
      <c r="F113" s="107" t="s">
        <v>39</v>
      </c>
      <c r="G113" s="99"/>
      <c r="H113" s="388"/>
      <c r="I113" s="99"/>
      <c r="J113" s="77"/>
      <c r="K113" s="77"/>
      <c r="L113" s="77"/>
      <c r="M113" s="77"/>
      <c r="N113" s="77"/>
      <c r="O113" s="77"/>
    </row>
    <row r="114" spans="1:15" ht="15" x14ac:dyDescent="0.25">
      <c r="A114" s="397" t="s">
        <v>126</v>
      </c>
      <c r="B114" s="106"/>
      <c r="C114" s="106"/>
      <c r="D114" s="106"/>
      <c r="E114" s="106" t="s">
        <v>43</v>
      </c>
      <c r="F114" s="107" t="s">
        <v>120</v>
      </c>
      <c r="G114" s="99"/>
      <c r="H114" s="388"/>
      <c r="I114" s="99"/>
      <c r="J114" s="77"/>
      <c r="K114" s="77"/>
      <c r="L114" s="77"/>
      <c r="M114" s="77"/>
      <c r="N114" s="77"/>
      <c r="O114" s="77"/>
    </row>
    <row r="115" spans="1:15" x14ac:dyDescent="0.25">
      <c r="A115" s="2" t="s">
        <v>238</v>
      </c>
      <c r="B115" s="2"/>
      <c r="C115" s="2"/>
      <c r="D115" s="2"/>
      <c r="E115" s="2" t="s">
        <v>118</v>
      </c>
      <c r="F115" s="2" t="s">
        <v>122</v>
      </c>
      <c r="G115" s="2"/>
      <c r="H115" s="3"/>
      <c r="I115" s="2"/>
    </row>
    <row r="116" spans="1:15" x14ac:dyDescent="0.25">
      <c r="A116" s="2" t="s">
        <v>183</v>
      </c>
      <c r="B116" s="2"/>
      <c r="C116" s="2"/>
      <c r="D116" s="2"/>
      <c r="E116" s="2" t="s">
        <v>45</v>
      </c>
      <c r="F116" s="2" t="s">
        <v>32</v>
      </c>
      <c r="G116" s="2"/>
      <c r="H116" s="3"/>
      <c r="I116" s="2"/>
    </row>
    <row r="117" spans="1:15" ht="15" x14ac:dyDescent="0.25">
      <c r="A117" s="2"/>
      <c r="B117" s="2"/>
      <c r="C117" s="2"/>
      <c r="D117" s="2"/>
      <c r="E117" s="106" t="s">
        <v>142</v>
      </c>
      <c r="F117" s="2"/>
      <c r="G117" s="2"/>
      <c r="H117" s="3"/>
      <c r="I117" s="2"/>
    </row>
    <row r="118" spans="1:15" x14ac:dyDescent="0.25">
      <c r="A118" s="2"/>
      <c r="B118" s="2"/>
      <c r="C118" s="2"/>
      <c r="D118" s="2"/>
      <c r="E118" s="2"/>
      <c r="F118" s="2"/>
      <c r="G118" s="2"/>
      <c r="H118" s="3"/>
      <c r="I118" s="2"/>
    </row>
    <row r="119" spans="1:15" x14ac:dyDescent="0.25">
      <c r="A119" s="2"/>
      <c r="B119" s="2"/>
      <c r="C119" s="2"/>
      <c r="D119" s="2"/>
      <c r="E119" s="2"/>
      <c r="F119" s="2"/>
      <c r="G119" s="2"/>
      <c r="H119" s="3"/>
      <c r="I119" s="2"/>
    </row>
    <row r="120" spans="1:15" x14ac:dyDescent="0.25">
      <c r="A120" s="2"/>
      <c r="B120" s="2"/>
      <c r="C120" s="2"/>
      <c r="D120" s="2"/>
      <c r="E120" s="2"/>
      <c r="F120" s="2"/>
      <c r="G120" s="2"/>
      <c r="H120" s="3"/>
      <c r="I120" s="2"/>
    </row>
    <row r="121" spans="1:15" x14ac:dyDescent="0.25">
      <c r="A121" s="2"/>
      <c r="B121" s="2"/>
      <c r="C121" s="2"/>
      <c r="D121" s="2"/>
      <c r="E121" s="2"/>
      <c r="F121" s="2"/>
      <c r="G121" s="2"/>
      <c r="H121" s="3"/>
      <c r="I121" s="2"/>
    </row>
    <row r="122" spans="1:15" x14ac:dyDescent="0.25">
      <c r="A122" s="2"/>
      <c r="B122" s="2"/>
      <c r="C122" s="2"/>
      <c r="D122" s="2"/>
      <c r="E122" s="2"/>
      <c r="F122" s="2"/>
      <c r="G122" s="2"/>
      <c r="H122" s="3"/>
      <c r="I122" s="2"/>
    </row>
    <row r="123" spans="1:15" x14ac:dyDescent="0.25">
      <c r="A123" s="2"/>
      <c r="B123" s="2"/>
      <c r="C123" s="2"/>
      <c r="D123" s="2"/>
      <c r="E123" s="2"/>
      <c r="F123" s="2"/>
      <c r="G123" s="2"/>
      <c r="H123" s="3"/>
      <c r="I123" s="2"/>
    </row>
    <row r="124" spans="1:15" x14ac:dyDescent="0.25">
      <c r="A124" s="2"/>
      <c r="B124" s="2"/>
      <c r="C124" s="2"/>
      <c r="D124" s="2"/>
      <c r="E124" s="2"/>
      <c r="F124" s="2"/>
      <c r="G124" s="2"/>
      <c r="H124" s="3"/>
      <c r="I124" s="2"/>
    </row>
    <row r="125" spans="1:15" x14ac:dyDescent="0.25">
      <c r="A125" s="2"/>
      <c r="B125" s="2"/>
      <c r="C125" s="2"/>
      <c r="D125" s="2"/>
      <c r="E125" s="2"/>
      <c r="F125" s="2"/>
      <c r="G125" s="2"/>
      <c r="H125" s="3"/>
      <c r="I125" s="2"/>
    </row>
    <row r="126" spans="1:15" x14ac:dyDescent="0.25">
      <c r="A126" s="2"/>
      <c r="B126" s="2"/>
      <c r="C126" s="2"/>
      <c r="D126" s="2"/>
      <c r="E126" s="2"/>
      <c r="F126" s="2"/>
      <c r="G126" s="2"/>
      <c r="H126" s="3"/>
      <c r="I126" s="2"/>
    </row>
    <row r="127" spans="1:15" x14ac:dyDescent="0.25">
      <c r="A127" s="2"/>
      <c r="B127" s="2"/>
      <c r="C127" s="2"/>
      <c r="D127" s="2"/>
      <c r="E127" s="2"/>
      <c r="F127" s="2"/>
      <c r="G127" s="2"/>
      <c r="H127" s="3"/>
      <c r="I127" s="2"/>
    </row>
    <row r="128" spans="1:15" x14ac:dyDescent="0.25">
      <c r="A128" s="2"/>
      <c r="B128" s="2"/>
      <c r="C128" s="2"/>
      <c r="D128" s="2"/>
      <c r="E128" s="2"/>
      <c r="F128" s="2"/>
      <c r="G128" s="2"/>
      <c r="H128" s="3"/>
      <c r="I128" s="2"/>
    </row>
    <row r="129" spans="1:9" x14ac:dyDescent="0.25">
      <c r="A129" s="2"/>
      <c r="B129" s="2"/>
      <c r="C129" s="2"/>
      <c r="D129" s="2"/>
      <c r="E129" s="2"/>
      <c r="F129" s="2"/>
      <c r="G129" s="2"/>
      <c r="H129" s="3"/>
      <c r="I129" s="2"/>
    </row>
  </sheetData>
  <mergeCells count="7">
    <mergeCell ref="A101:F102"/>
    <mergeCell ref="A1:O1"/>
    <mergeCell ref="A3:O3"/>
    <mergeCell ref="A11:O11"/>
    <mergeCell ref="A35:O35"/>
    <mergeCell ref="A47:O47"/>
    <mergeCell ref="A48:F48"/>
  </mergeCells>
  <dataValidations count="7">
    <dataValidation type="list" allowBlank="1" showInputMessage="1" showErrorMessage="1" sqref="F5:F10 F14:F18 F37 F22:F31" xr:uid="{00000000-0002-0000-1300-000000000000}">
      <formula1>$E$110:$E$124</formula1>
    </dataValidation>
    <dataValidation type="list" allowBlank="1" showInputMessage="1" showErrorMessage="1" sqref="G5:G10 G14:G18 G37 G22:G31" xr:uid="{00000000-0002-0000-1300-000001000000}">
      <formula1>$C$110:$C$118</formula1>
    </dataValidation>
    <dataValidation type="list" allowBlank="1" showInputMessage="1" showErrorMessage="1" sqref="A5:A10 A37 A14:A18 A22:A31" xr:uid="{00000000-0002-0000-1300-000002000000}">
      <formula1>$D$110:$D$112</formula1>
    </dataValidation>
    <dataValidation type="list" allowBlank="1" showInputMessage="1" showErrorMessage="1" sqref="B5:B10 B22:B31 B14:B18 B37" xr:uid="{00000000-0002-0000-1300-000003000000}">
      <formula1>$B$110:$B$114</formula1>
    </dataValidation>
    <dataValidation type="list" allowBlank="1" showInputMessage="1" showErrorMessage="1" sqref="E5:E10 E22:E31 E37 E14:E18" xr:uid="{00000000-0002-0000-1300-000004000000}">
      <formula1>$F$110:$F$124</formula1>
    </dataValidation>
    <dataValidation type="list" allowBlank="1" showInputMessage="1" showErrorMessage="1" sqref="C22:D31 C14:D18 C37:D37 C5:D10" xr:uid="{00000000-0002-0000-1300-000005000000}">
      <formula1>$A$110:$A$122</formula1>
    </dataValidation>
    <dataValidation type="list" allowBlank="1" showInputMessage="1" showErrorMessage="1" sqref="E40 C39:D46" xr:uid="{00000000-0002-0000-1300-000006000000}">
      <formula1>#REF!</formula1>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4">
    <tabColor rgb="FFFF0000"/>
  </sheetPr>
  <dimension ref="A1:EA129"/>
  <sheetViews>
    <sheetView topLeftCell="E1" zoomScale="70" zoomScaleNormal="70" workbookViewId="0">
      <selection activeCell="K6" sqref="K6"/>
    </sheetView>
  </sheetViews>
  <sheetFormatPr defaultColWidth="8.77734375" defaultRowHeight="13.2" x14ac:dyDescent="0.25"/>
  <cols>
    <col min="1" max="15" width="26.44140625" customWidth="1"/>
  </cols>
  <sheetData>
    <row r="1" spans="1:131" ht="18" thickBot="1" x14ac:dyDescent="0.3">
      <c r="A1" s="900" t="s">
        <v>310</v>
      </c>
      <c r="B1" s="900"/>
      <c r="C1" s="900"/>
      <c r="D1" s="900"/>
      <c r="E1" s="900"/>
      <c r="F1" s="900"/>
      <c r="G1" s="900"/>
      <c r="H1" s="900"/>
      <c r="I1" s="900"/>
      <c r="J1" s="900"/>
      <c r="K1" s="900"/>
      <c r="L1" s="900"/>
      <c r="M1" s="900"/>
      <c r="N1" s="900"/>
      <c r="O1" s="900"/>
    </row>
    <row r="2" spans="1:131" ht="17.399999999999999" x14ac:dyDescent="0.25">
      <c r="A2" s="528" t="s">
        <v>188</v>
      </c>
      <c r="B2" s="175"/>
      <c r="C2" s="528"/>
      <c r="D2" s="528"/>
      <c r="E2" s="528"/>
      <c r="F2" s="528"/>
      <c r="G2" s="528"/>
      <c r="H2" s="381"/>
      <c r="I2" s="528"/>
      <c r="J2" s="399"/>
      <c r="K2" s="399"/>
      <c r="L2" s="399"/>
      <c r="M2" s="399"/>
      <c r="N2" s="399"/>
      <c r="O2" s="399"/>
    </row>
    <row r="3" spans="1:131" ht="15" x14ac:dyDescent="0.25">
      <c r="A3" s="901" t="s">
        <v>204</v>
      </c>
      <c r="B3" s="902"/>
      <c r="C3" s="902"/>
      <c r="D3" s="902"/>
      <c r="E3" s="902"/>
      <c r="F3" s="902"/>
      <c r="G3" s="902"/>
      <c r="H3" s="902"/>
      <c r="I3" s="902"/>
      <c r="J3" s="902"/>
      <c r="K3" s="902"/>
      <c r="L3" s="902"/>
      <c r="M3" s="902"/>
      <c r="N3" s="902"/>
      <c r="O3" s="903"/>
    </row>
    <row r="4" spans="1:131" ht="60" x14ac:dyDescent="0.25">
      <c r="A4" s="176" t="s">
        <v>89</v>
      </c>
      <c r="B4" s="176" t="s">
        <v>90</v>
      </c>
      <c r="C4" s="177" t="s">
        <v>0</v>
      </c>
      <c r="D4" s="177" t="s">
        <v>124</v>
      </c>
      <c r="E4" s="176" t="s">
        <v>143</v>
      </c>
      <c r="F4" s="176" t="s">
        <v>144</v>
      </c>
      <c r="G4" s="176" t="s">
        <v>13</v>
      </c>
      <c r="H4" s="382" t="s">
        <v>88</v>
      </c>
      <c r="I4" s="176" t="s">
        <v>12</v>
      </c>
      <c r="J4" s="400" t="s">
        <v>158</v>
      </c>
      <c r="K4" s="400" t="s">
        <v>148</v>
      </c>
      <c r="L4" s="400" t="s">
        <v>180</v>
      </c>
      <c r="M4" s="400" t="s">
        <v>104</v>
      </c>
      <c r="N4" s="400" t="s">
        <v>179</v>
      </c>
      <c r="O4" s="400" t="s">
        <v>205</v>
      </c>
    </row>
    <row r="5" spans="1:131" ht="30" x14ac:dyDescent="0.25">
      <c r="A5" s="482" t="s">
        <v>84</v>
      </c>
      <c r="B5" s="482" t="s">
        <v>3</v>
      </c>
      <c r="C5" s="482" t="s">
        <v>307</v>
      </c>
      <c r="D5" s="482" t="s">
        <v>307</v>
      </c>
      <c r="E5" s="327" t="s">
        <v>120</v>
      </c>
      <c r="F5" s="457" t="s">
        <v>44</v>
      </c>
      <c r="G5" s="482" t="s">
        <v>14</v>
      </c>
      <c r="H5" s="483">
        <v>44423</v>
      </c>
      <c r="I5" s="482" t="s">
        <v>23</v>
      </c>
      <c r="J5" s="350">
        <v>143.66999999999999</v>
      </c>
      <c r="K5" s="350">
        <f>'May13'!K5</f>
        <v>118.16</v>
      </c>
      <c r="L5" s="496">
        <f t="shared" ref="L5:L8" si="0">N5-M5</f>
        <v>13.49088328</v>
      </c>
      <c r="M5" s="350">
        <f t="shared" ref="M5:N8" si="1">-DZ5/1000000</f>
        <v>1.58570692</v>
      </c>
      <c r="N5" s="350">
        <f t="shared" si="1"/>
        <v>15.0765902</v>
      </c>
      <c r="O5" s="88"/>
      <c r="DZ5">
        <v>-1585706.92</v>
      </c>
      <c r="EA5">
        <v>-15076590.199999999</v>
      </c>
    </row>
    <row r="6" spans="1:131" ht="30" x14ac:dyDescent="0.25">
      <c r="A6" s="485" t="s">
        <v>84</v>
      </c>
      <c r="B6" s="485" t="s">
        <v>3</v>
      </c>
      <c r="C6" s="485" t="s">
        <v>307</v>
      </c>
      <c r="D6" s="485" t="s">
        <v>307</v>
      </c>
      <c r="E6" s="329" t="s">
        <v>120</v>
      </c>
      <c r="F6" s="458" t="s">
        <v>44</v>
      </c>
      <c r="G6" s="485" t="s">
        <v>14</v>
      </c>
      <c r="H6" s="93">
        <v>44576</v>
      </c>
      <c r="I6" s="485" t="s">
        <v>24</v>
      </c>
      <c r="J6" s="351">
        <v>27.4</v>
      </c>
      <c r="K6" s="351">
        <f>'May13'!K6</f>
        <v>25.83</v>
      </c>
      <c r="L6" s="497">
        <f t="shared" si="0"/>
        <v>3.5809315499999999</v>
      </c>
      <c r="M6" s="351">
        <f t="shared" si="1"/>
        <v>6.5297010000000003E-2</v>
      </c>
      <c r="N6" s="351">
        <f t="shared" si="1"/>
        <v>3.64622856</v>
      </c>
      <c r="O6" s="96"/>
      <c r="DZ6">
        <v>-65297.01</v>
      </c>
      <c r="EA6">
        <v>-3646228.56</v>
      </c>
    </row>
    <row r="7" spans="1:131" ht="30" x14ac:dyDescent="0.25">
      <c r="A7" s="482" t="s">
        <v>84</v>
      </c>
      <c r="B7" s="482" t="s">
        <v>3</v>
      </c>
      <c r="C7" s="482" t="s">
        <v>308</v>
      </c>
      <c r="D7" s="482" t="s">
        <v>308</v>
      </c>
      <c r="E7" s="327" t="s">
        <v>39</v>
      </c>
      <c r="F7" s="457" t="s">
        <v>38</v>
      </c>
      <c r="G7" s="482" t="s">
        <v>14</v>
      </c>
      <c r="H7" s="483">
        <v>44576</v>
      </c>
      <c r="I7" s="482" t="s">
        <v>24</v>
      </c>
      <c r="J7" s="350">
        <v>26.85</v>
      </c>
      <c r="K7" s="350">
        <f>'May13'!K7</f>
        <v>25.38</v>
      </c>
      <c r="L7" s="496">
        <f t="shared" si="0"/>
        <v>3.5110635600000002</v>
      </c>
      <c r="M7" s="350">
        <f t="shared" si="1"/>
        <v>6.4146789999999995E-2</v>
      </c>
      <c r="N7" s="350">
        <f t="shared" si="1"/>
        <v>3.5752103500000003</v>
      </c>
      <c r="O7" s="88"/>
      <c r="DZ7">
        <v>-64146.79</v>
      </c>
      <c r="EA7">
        <v>-3575210.35</v>
      </c>
    </row>
    <row r="8" spans="1:131" ht="30" x14ac:dyDescent="0.25">
      <c r="A8" s="485" t="s">
        <v>84</v>
      </c>
      <c r="B8" s="485" t="s">
        <v>3</v>
      </c>
      <c r="C8" s="485" t="s">
        <v>309</v>
      </c>
      <c r="D8" s="485" t="s">
        <v>125</v>
      </c>
      <c r="E8" s="329" t="s">
        <v>39</v>
      </c>
      <c r="F8" s="458" t="s">
        <v>42</v>
      </c>
      <c r="G8" s="485" t="s">
        <v>14</v>
      </c>
      <c r="H8" s="93">
        <v>46296</v>
      </c>
      <c r="I8" s="485" t="s">
        <v>25</v>
      </c>
      <c r="J8" s="351">
        <v>40.880000000000003</v>
      </c>
      <c r="K8" s="351">
        <f>'May13'!K8</f>
        <v>37.659999999999997</v>
      </c>
      <c r="L8" s="497">
        <f t="shared" si="0"/>
        <v>4.9062221499999996</v>
      </c>
      <c r="M8" s="351">
        <f t="shared" si="1"/>
        <v>6.0577589999999994E-2</v>
      </c>
      <c r="N8" s="351">
        <f t="shared" si="1"/>
        <v>4.9667997399999999</v>
      </c>
      <c r="O8" s="96"/>
      <c r="DZ8">
        <v>-60577.59</v>
      </c>
      <c r="EA8">
        <v>-4966799.74</v>
      </c>
    </row>
    <row r="9" spans="1:131" ht="15" x14ac:dyDescent="0.25">
      <c r="A9" s="111"/>
      <c r="B9" s="111"/>
      <c r="C9" s="111"/>
      <c r="D9" s="111"/>
      <c r="E9" s="123"/>
      <c r="F9" s="111"/>
      <c r="G9" s="111"/>
      <c r="H9" s="114"/>
      <c r="I9" s="111"/>
      <c r="J9" s="352"/>
      <c r="K9" s="352"/>
      <c r="L9" s="352"/>
      <c r="M9" s="352"/>
      <c r="N9" s="353"/>
      <c r="O9" s="353"/>
    </row>
    <row r="10" spans="1:131" ht="15" x14ac:dyDescent="0.25">
      <c r="A10" s="485"/>
      <c r="B10" s="485"/>
      <c r="C10" s="485"/>
      <c r="D10" s="485"/>
      <c r="E10" s="329"/>
      <c r="F10" s="485"/>
      <c r="G10" s="485"/>
      <c r="H10" s="93"/>
      <c r="I10" s="485"/>
      <c r="J10" s="351"/>
      <c r="K10" s="351"/>
      <c r="L10" s="351"/>
      <c r="M10" s="351"/>
      <c r="N10" s="96"/>
      <c r="O10" s="96"/>
    </row>
    <row r="11" spans="1:131" ht="15" x14ac:dyDescent="0.25">
      <c r="A11" s="901" t="s">
        <v>203</v>
      </c>
      <c r="B11" s="902"/>
      <c r="C11" s="902"/>
      <c r="D11" s="902"/>
      <c r="E11" s="902"/>
      <c r="F11" s="902"/>
      <c r="G11" s="902"/>
      <c r="H11" s="902"/>
      <c r="I11" s="902"/>
      <c r="J11" s="902"/>
      <c r="K11" s="902"/>
      <c r="L11" s="902"/>
      <c r="M11" s="902"/>
      <c r="N11" s="902"/>
      <c r="O11" s="903"/>
    </row>
    <row r="12" spans="1:131" ht="60" x14ac:dyDescent="0.25">
      <c r="A12" s="176" t="s">
        <v>89</v>
      </c>
      <c r="B12" s="176" t="s">
        <v>90</v>
      </c>
      <c r="C12" s="177" t="s">
        <v>0</v>
      </c>
      <c r="D12" s="180" t="s">
        <v>124</v>
      </c>
      <c r="E12" s="176" t="s">
        <v>143</v>
      </c>
      <c r="F12" s="176" t="s">
        <v>144</v>
      </c>
      <c r="G12" s="176" t="s">
        <v>13</v>
      </c>
      <c r="H12" s="382" t="s">
        <v>88</v>
      </c>
      <c r="I12" s="176" t="s">
        <v>12</v>
      </c>
      <c r="J12" s="400" t="s">
        <v>150</v>
      </c>
      <c r="K12" s="400" t="s">
        <v>151</v>
      </c>
      <c r="L12" s="400" t="s">
        <v>157</v>
      </c>
      <c r="M12" s="400" t="s">
        <v>149</v>
      </c>
      <c r="N12" s="400" t="s">
        <v>179</v>
      </c>
      <c r="O12" s="400" t="s">
        <v>205</v>
      </c>
    </row>
    <row r="13" spans="1:131" ht="15" x14ac:dyDescent="0.25">
      <c r="A13" s="184" t="s">
        <v>197</v>
      </c>
      <c r="B13" s="184"/>
      <c r="C13" s="185"/>
      <c r="D13" s="185"/>
      <c r="E13" s="184"/>
      <c r="F13" s="184"/>
      <c r="G13" s="184"/>
      <c r="H13" s="383"/>
      <c r="I13" s="184"/>
      <c r="J13" s="403"/>
      <c r="K13" s="403"/>
      <c r="L13" s="403"/>
      <c r="M13" s="403"/>
      <c r="N13" s="403"/>
      <c r="O13" s="404"/>
    </row>
    <row r="14" spans="1:131" ht="30" x14ac:dyDescent="0.25">
      <c r="A14" s="482" t="s">
        <v>8</v>
      </c>
      <c r="B14" s="485" t="s">
        <v>7</v>
      </c>
      <c r="C14" s="482" t="s">
        <v>239</v>
      </c>
      <c r="D14" s="482" t="s">
        <v>238</v>
      </c>
      <c r="E14" s="327" t="s">
        <v>32</v>
      </c>
      <c r="F14" s="327" t="s">
        <v>45</v>
      </c>
      <c r="G14" s="482" t="s">
        <v>22</v>
      </c>
      <c r="H14" s="483">
        <v>41455</v>
      </c>
      <c r="I14" s="482" t="s">
        <v>131</v>
      </c>
      <c r="J14" s="88">
        <v>26.77</v>
      </c>
      <c r="K14" s="88">
        <v>-26.77</v>
      </c>
      <c r="L14" s="488">
        <v>0</v>
      </c>
      <c r="M14" s="88"/>
      <c r="N14" s="88"/>
      <c r="O14" s="88"/>
    </row>
    <row r="15" spans="1:131" ht="30" x14ac:dyDescent="0.25">
      <c r="A15" s="485" t="s">
        <v>8</v>
      </c>
      <c r="B15" s="485" t="s">
        <v>193</v>
      </c>
      <c r="C15" s="485" t="s">
        <v>239</v>
      </c>
      <c r="D15" s="485" t="s">
        <v>238</v>
      </c>
      <c r="E15" s="485" t="s">
        <v>32</v>
      </c>
      <c r="F15" s="485" t="s">
        <v>45</v>
      </c>
      <c r="G15" s="485" t="s">
        <v>22</v>
      </c>
      <c r="H15" s="385">
        <v>41820</v>
      </c>
      <c r="I15" s="485" t="s">
        <v>132</v>
      </c>
      <c r="J15" s="379">
        <v>17.88</v>
      </c>
      <c r="K15" s="379"/>
      <c r="L15" s="489">
        <v>17.88</v>
      </c>
      <c r="M15" s="379"/>
      <c r="N15" s="379"/>
      <c r="O15" s="379"/>
    </row>
    <row r="16" spans="1:131" ht="30" x14ac:dyDescent="0.25">
      <c r="A16" s="482" t="s">
        <v>8</v>
      </c>
      <c r="B16" s="482" t="s">
        <v>193</v>
      </c>
      <c r="C16" s="482" t="s">
        <v>239</v>
      </c>
      <c r="D16" s="482" t="s">
        <v>238</v>
      </c>
      <c r="E16" s="482" t="s">
        <v>32</v>
      </c>
      <c r="F16" s="482" t="s">
        <v>45</v>
      </c>
      <c r="G16" s="482" t="s">
        <v>22</v>
      </c>
      <c r="H16" s="386">
        <v>42185</v>
      </c>
      <c r="I16" s="482" t="s">
        <v>133</v>
      </c>
      <c r="J16" s="380">
        <v>13.56</v>
      </c>
      <c r="K16" s="380"/>
      <c r="L16" s="488">
        <v>13.56</v>
      </c>
      <c r="M16" s="380"/>
      <c r="N16" s="380"/>
      <c r="O16" s="380"/>
    </row>
    <row r="17" spans="1:15" ht="30" x14ac:dyDescent="0.25">
      <c r="A17" s="485" t="s">
        <v>8</v>
      </c>
      <c r="B17" s="485" t="s">
        <v>193</v>
      </c>
      <c r="C17" s="485" t="s">
        <v>239</v>
      </c>
      <c r="D17" s="485" t="s">
        <v>238</v>
      </c>
      <c r="E17" s="485" t="s">
        <v>32</v>
      </c>
      <c r="F17" s="485" t="s">
        <v>45</v>
      </c>
      <c r="G17" s="485" t="s">
        <v>22</v>
      </c>
      <c r="H17" s="385">
        <v>42551</v>
      </c>
      <c r="I17" s="485" t="s">
        <v>300</v>
      </c>
      <c r="J17" s="379">
        <v>1.1100000000000001</v>
      </c>
      <c r="K17" s="379"/>
      <c r="L17" s="490">
        <v>1.1100000000000001</v>
      </c>
      <c r="M17" s="379"/>
      <c r="N17" s="379"/>
      <c r="O17" s="379"/>
    </row>
    <row r="18" spans="1:15" ht="15" x14ac:dyDescent="0.25">
      <c r="A18" s="181"/>
      <c r="B18" s="181"/>
      <c r="C18" s="181"/>
      <c r="D18" s="181"/>
      <c r="E18" s="182"/>
      <c r="F18" s="181"/>
      <c r="G18" s="181"/>
      <c r="H18" s="183" t="s">
        <v>206</v>
      </c>
      <c r="I18" s="181"/>
      <c r="J18" s="354">
        <v>59.32</v>
      </c>
      <c r="K18" s="354">
        <v>-26.77</v>
      </c>
      <c r="L18" s="354">
        <v>32.549999999999997</v>
      </c>
      <c r="M18" s="354">
        <v>29.444914999999998</v>
      </c>
      <c r="N18" s="354">
        <v>3.1050849999999999</v>
      </c>
      <c r="O18" s="354">
        <v>35</v>
      </c>
    </row>
    <row r="19" spans="1:15" ht="15" x14ac:dyDescent="0.25">
      <c r="A19" s="181" t="s">
        <v>295</v>
      </c>
      <c r="B19" s="181"/>
      <c r="C19" s="181"/>
      <c r="D19" s="181"/>
      <c r="E19" s="182"/>
      <c r="F19" s="181"/>
      <c r="G19" s="181"/>
      <c r="H19" s="183"/>
      <c r="I19" s="181"/>
      <c r="J19" s="354"/>
      <c r="K19" s="354"/>
      <c r="L19" s="354"/>
      <c r="M19" s="354"/>
      <c r="N19" s="354"/>
      <c r="O19" s="354"/>
    </row>
    <row r="20" spans="1:15" ht="15" x14ac:dyDescent="0.25">
      <c r="A20" s="184" t="s">
        <v>327</v>
      </c>
      <c r="B20" s="184"/>
      <c r="C20" s="185"/>
      <c r="D20" s="185"/>
      <c r="E20" s="184"/>
      <c r="F20" s="184"/>
      <c r="G20" s="184"/>
      <c r="H20" s="383"/>
      <c r="I20" s="184"/>
      <c r="J20" s="459"/>
      <c r="K20" s="459"/>
      <c r="L20" s="459"/>
      <c r="M20" s="459"/>
      <c r="N20" s="459"/>
      <c r="O20" s="186"/>
    </row>
    <row r="21" spans="1:15" ht="30" x14ac:dyDescent="0.25">
      <c r="A21" s="482" t="s">
        <v>8</v>
      </c>
      <c r="B21" s="482" t="s">
        <v>7</v>
      </c>
      <c r="C21" s="482" t="s">
        <v>27</v>
      </c>
      <c r="D21" s="482" t="s">
        <v>127</v>
      </c>
      <c r="E21" s="327" t="s">
        <v>33</v>
      </c>
      <c r="F21" s="327" t="s">
        <v>45</v>
      </c>
      <c r="G21" s="482" t="s">
        <v>22</v>
      </c>
      <c r="H21" s="483">
        <v>41455</v>
      </c>
      <c r="I21" s="482" t="s">
        <v>137</v>
      </c>
      <c r="J21" s="88">
        <v>5.2490547599999999</v>
      </c>
      <c r="K21" s="88">
        <v>-5.2490547599999999</v>
      </c>
      <c r="L21" s="488">
        <v>0</v>
      </c>
      <c r="M21" s="486"/>
      <c r="N21" s="486"/>
      <c r="O21" s="486"/>
    </row>
    <row r="22" spans="1:15" ht="30" x14ac:dyDescent="0.25">
      <c r="A22" s="482" t="s">
        <v>8</v>
      </c>
      <c r="B22" s="485" t="s">
        <v>7</v>
      </c>
      <c r="C22" s="485" t="s">
        <v>27</v>
      </c>
      <c r="D22" s="485" t="s">
        <v>127</v>
      </c>
      <c r="E22" s="485" t="s">
        <v>33</v>
      </c>
      <c r="F22" s="485" t="s">
        <v>45</v>
      </c>
      <c r="G22" s="485" t="s">
        <v>22</v>
      </c>
      <c r="H22" s="385">
        <v>41820</v>
      </c>
      <c r="I22" s="485" t="s">
        <v>138</v>
      </c>
      <c r="J22" s="379">
        <v>0.92112859999999996</v>
      </c>
      <c r="K22" s="379">
        <v>0</v>
      </c>
      <c r="L22" s="489">
        <v>0.92112859999999996</v>
      </c>
      <c r="M22" s="484"/>
      <c r="N22" s="484"/>
      <c r="O22" s="484"/>
    </row>
    <row r="23" spans="1:15" ht="30" x14ac:dyDescent="0.25">
      <c r="A23" s="482" t="s">
        <v>8</v>
      </c>
      <c r="B23" s="482" t="s">
        <v>7</v>
      </c>
      <c r="C23" s="482" t="s">
        <v>27</v>
      </c>
      <c r="D23" s="482" t="s">
        <v>127</v>
      </c>
      <c r="E23" s="482" t="s">
        <v>33</v>
      </c>
      <c r="F23" s="482" t="s">
        <v>45</v>
      </c>
      <c r="G23" s="482" t="s">
        <v>22</v>
      </c>
      <c r="H23" s="386">
        <v>42185</v>
      </c>
      <c r="I23" s="482" t="s">
        <v>139</v>
      </c>
      <c r="J23" s="380"/>
      <c r="K23" s="380">
        <v>0</v>
      </c>
      <c r="L23" s="488">
        <v>0</v>
      </c>
      <c r="M23" s="487"/>
      <c r="N23" s="487"/>
      <c r="O23" s="487"/>
    </row>
    <row r="24" spans="1:15" ht="30" x14ac:dyDescent="0.25">
      <c r="A24" s="482" t="s">
        <v>8</v>
      </c>
      <c r="B24" s="485" t="s">
        <v>7</v>
      </c>
      <c r="C24" s="485" t="s">
        <v>27</v>
      </c>
      <c r="D24" s="485" t="s">
        <v>127</v>
      </c>
      <c r="E24" s="485" t="s">
        <v>33</v>
      </c>
      <c r="F24" s="485" t="s">
        <v>45</v>
      </c>
      <c r="G24" s="485" t="s">
        <v>22</v>
      </c>
      <c r="H24" s="385">
        <v>42551</v>
      </c>
      <c r="I24" s="485" t="s">
        <v>301</v>
      </c>
      <c r="J24" s="379"/>
      <c r="K24" s="379">
        <v>0</v>
      </c>
      <c r="L24" s="490">
        <v>0</v>
      </c>
      <c r="M24" s="484"/>
      <c r="N24" s="484"/>
      <c r="O24" s="484"/>
    </row>
    <row r="25" spans="1:15" ht="15" x14ac:dyDescent="0.25">
      <c r="A25" s="181" t="s">
        <v>324</v>
      </c>
      <c r="B25" s="181"/>
      <c r="C25" s="181"/>
      <c r="D25" s="181"/>
      <c r="E25" s="182"/>
      <c r="F25" s="181"/>
      <c r="G25" s="181"/>
      <c r="H25" s="183" t="s">
        <v>206</v>
      </c>
      <c r="I25" s="181"/>
      <c r="J25" s="354">
        <v>6.1701833600000002</v>
      </c>
      <c r="K25" s="354">
        <v>-5.2490547599999999</v>
      </c>
      <c r="L25" s="354">
        <v>0.92112859999999996</v>
      </c>
      <c r="M25" s="354">
        <v>0.76671180399999994</v>
      </c>
      <c r="N25" s="354">
        <v>0.154416796</v>
      </c>
      <c r="O25" s="354"/>
    </row>
    <row r="26" spans="1:15" ht="15" x14ac:dyDescent="0.25">
      <c r="A26" s="181"/>
      <c r="B26" s="181"/>
      <c r="C26" s="181"/>
      <c r="D26" s="181"/>
      <c r="E26" s="182"/>
      <c r="F26" s="181"/>
      <c r="G26" s="181"/>
      <c r="H26" s="183"/>
      <c r="I26" s="181"/>
      <c r="J26" s="354"/>
      <c r="K26" s="354"/>
      <c r="L26" s="354"/>
      <c r="M26" s="354"/>
      <c r="N26" s="354"/>
      <c r="O26" s="354"/>
    </row>
    <row r="27" spans="1:15" ht="15" x14ac:dyDescent="0.25">
      <c r="A27" s="184" t="s">
        <v>328</v>
      </c>
      <c r="B27" s="184"/>
      <c r="C27" s="185"/>
      <c r="D27" s="185"/>
      <c r="E27" s="184"/>
      <c r="F27" s="184"/>
      <c r="G27" s="184"/>
      <c r="H27" s="383"/>
      <c r="I27" s="184"/>
      <c r="J27" s="459"/>
      <c r="K27" s="459"/>
      <c r="L27" s="459"/>
      <c r="M27" s="459"/>
      <c r="N27" s="459"/>
      <c r="O27" s="186"/>
    </row>
    <row r="28" spans="1:15" ht="30" x14ac:dyDescent="0.25">
      <c r="A28" s="482" t="s">
        <v>8</v>
      </c>
      <c r="B28" s="482" t="s">
        <v>7</v>
      </c>
      <c r="C28" s="482" t="s">
        <v>92</v>
      </c>
      <c r="D28" s="482" t="s">
        <v>128</v>
      </c>
      <c r="E28" s="327" t="s">
        <v>33</v>
      </c>
      <c r="F28" s="327" t="s">
        <v>45</v>
      </c>
      <c r="G28" s="482" t="s">
        <v>22</v>
      </c>
      <c r="H28" s="483">
        <v>41455</v>
      </c>
      <c r="I28" s="482" t="s">
        <v>137</v>
      </c>
      <c r="J28" s="88">
        <v>0.78420411999999995</v>
      </c>
      <c r="K28" s="88">
        <v>-0.78420411999999995</v>
      </c>
      <c r="L28" s="488">
        <v>0</v>
      </c>
      <c r="M28" s="379"/>
      <c r="N28" s="379"/>
      <c r="O28" s="379"/>
    </row>
    <row r="29" spans="1:15" ht="30" x14ac:dyDescent="0.25">
      <c r="A29" s="485" t="s">
        <v>8</v>
      </c>
      <c r="B29" s="485" t="s">
        <v>7</v>
      </c>
      <c r="C29" s="485" t="s">
        <v>92</v>
      </c>
      <c r="D29" s="485" t="s">
        <v>128</v>
      </c>
      <c r="E29" s="485" t="s">
        <v>33</v>
      </c>
      <c r="F29" s="485" t="s">
        <v>45</v>
      </c>
      <c r="G29" s="485" t="s">
        <v>22</v>
      </c>
      <c r="H29" s="385">
        <v>42185</v>
      </c>
      <c r="I29" s="485" t="s">
        <v>139</v>
      </c>
      <c r="J29" s="379">
        <v>2.7230235199999999</v>
      </c>
      <c r="K29" s="379">
        <v>0</v>
      </c>
      <c r="L29" s="489">
        <v>2.7230235199999999</v>
      </c>
      <c r="M29" s="380"/>
      <c r="N29" s="380"/>
      <c r="O29" s="380"/>
    </row>
    <row r="30" spans="1:15" ht="30" x14ac:dyDescent="0.25">
      <c r="A30" s="482" t="s">
        <v>8</v>
      </c>
      <c r="B30" s="482" t="s">
        <v>7</v>
      </c>
      <c r="C30" s="482" t="s">
        <v>92</v>
      </c>
      <c r="D30" s="482" t="s">
        <v>128</v>
      </c>
      <c r="E30" s="482" t="s">
        <v>33</v>
      </c>
      <c r="F30" s="482" t="s">
        <v>45</v>
      </c>
      <c r="G30" s="482" t="s">
        <v>22</v>
      </c>
      <c r="H30" s="386">
        <v>42185</v>
      </c>
      <c r="I30" s="482" t="s">
        <v>139</v>
      </c>
      <c r="J30" s="380">
        <v>1.5495680000000001</v>
      </c>
      <c r="K30" s="380">
        <v>0</v>
      </c>
      <c r="L30" s="488">
        <v>1.5495680000000001</v>
      </c>
      <c r="M30" s="379"/>
      <c r="N30" s="379"/>
      <c r="O30" s="379"/>
    </row>
    <row r="31" spans="1:15" ht="30" x14ac:dyDescent="0.25">
      <c r="A31" s="485" t="s">
        <v>8</v>
      </c>
      <c r="B31" s="485" t="s">
        <v>7</v>
      </c>
      <c r="C31" s="485" t="s">
        <v>92</v>
      </c>
      <c r="D31" s="485" t="s">
        <v>128</v>
      </c>
      <c r="E31" s="485" t="s">
        <v>33</v>
      </c>
      <c r="F31" s="485" t="s">
        <v>45</v>
      </c>
      <c r="G31" s="485" t="s">
        <v>22</v>
      </c>
      <c r="H31" s="385">
        <v>42551</v>
      </c>
      <c r="I31" s="485" t="s">
        <v>301</v>
      </c>
      <c r="J31" s="379">
        <v>0.72236800000000001</v>
      </c>
      <c r="K31" s="379">
        <v>0</v>
      </c>
      <c r="L31" s="490">
        <v>0.72236800000000001</v>
      </c>
      <c r="M31" s="380"/>
      <c r="N31" s="380"/>
      <c r="O31" s="380"/>
    </row>
    <row r="32" spans="1:15" ht="15" x14ac:dyDescent="0.25">
      <c r="A32" s="181" t="s">
        <v>325</v>
      </c>
      <c r="B32" s="181"/>
      <c r="C32" s="181"/>
      <c r="D32" s="181"/>
      <c r="E32" s="182"/>
      <c r="F32" s="181"/>
      <c r="G32" s="181"/>
      <c r="H32" s="183" t="s">
        <v>206</v>
      </c>
      <c r="I32" s="181"/>
      <c r="J32" s="354">
        <v>5.7791636400000002</v>
      </c>
      <c r="K32" s="354">
        <v>-0.78420411999999995</v>
      </c>
      <c r="L32" s="354">
        <v>4.9949595200000001</v>
      </c>
      <c r="M32" s="354">
        <v>5.7071208179999999</v>
      </c>
      <c r="N32" s="354">
        <v>-0.71216129800000005</v>
      </c>
      <c r="O32" s="354"/>
    </row>
    <row r="33" spans="1:15" ht="30" x14ac:dyDescent="0.25">
      <c r="A33" s="181" t="s">
        <v>331</v>
      </c>
      <c r="B33" s="181"/>
      <c r="C33" s="181"/>
      <c r="D33" s="181"/>
      <c r="E33" s="182"/>
      <c r="F33" s="181"/>
      <c r="G33" s="181"/>
      <c r="H33" s="183"/>
      <c r="I33" s="181"/>
      <c r="J33" s="354">
        <f>J32 + J25</f>
        <v>11.949346999999999</v>
      </c>
      <c r="K33" s="354">
        <f>K32 + K25</f>
        <v>-6.03325888</v>
      </c>
      <c r="L33" s="354">
        <f>L32 + L25</f>
        <v>5.9160881200000004</v>
      </c>
      <c r="M33" s="354">
        <f>M32 + M25</f>
        <v>6.4738326219999998</v>
      </c>
      <c r="N33" s="354">
        <f>IF(AND(N32&gt;0, N25&gt;0),N32 + N25,IF(AND(N32&gt;0, N25&lt;=0),N32,IF(AND(N32&lt;0, N25&gt;=0), N25,0)))</f>
        <v>0.154416796</v>
      </c>
      <c r="O33" s="354"/>
    </row>
    <row r="34" spans="1:15" ht="15" x14ac:dyDescent="0.25">
      <c r="A34" s="184" t="s">
        <v>298</v>
      </c>
      <c r="B34" s="184"/>
      <c r="C34" s="185"/>
      <c r="D34" s="185"/>
      <c r="E34" s="184"/>
      <c r="F34" s="184"/>
      <c r="G34" s="184"/>
      <c r="H34" s="383"/>
      <c r="I34" s="184"/>
      <c r="J34" s="403"/>
      <c r="K34" s="403"/>
      <c r="L34" s="403"/>
      <c r="M34" s="403"/>
      <c r="N34" s="403"/>
      <c r="O34" s="404"/>
    </row>
    <row r="35" spans="1:15" ht="15" x14ac:dyDescent="0.25">
      <c r="A35" s="901" t="s">
        <v>325</v>
      </c>
      <c r="B35" s="902"/>
      <c r="C35" s="902"/>
      <c r="D35" s="902"/>
      <c r="E35" s="902"/>
      <c r="F35" s="902"/>
      <c r="G35" s="902"/>
      <c r="H35" s="902"/>
      <c r="I35" s="902"/>
      <c r="J35" s="902"/>
      <c r="K35" s="902"/>
      <c r="L35" s="902"/>
      <c r="M35" s="902"/>
      <c r="N35" s="902"/>
      <c r="O35" s="903"/>
    </row>
    <row r="36" spans="1:15" ht="60" x14ac:dyDescent="0.25">
      <c r="A36" s="176" t="s">
        <v>89</v>
      </c>
      <c r="B36" s="176" t="s">
        <v>90</v>
      </c>
      <c r="C36" s="177" t="s">
        <v>0</v>
      </c>
      <c r="D36" s="177" t="s">
        <v>124</v>
      </c>
      <c r="E36" s="176" t="s">
        <v>143</v>
      </c>
      <c r="F36" s="176" t="s">
        <v>144</v>
      </c>
      <c r="G36" s="176" t="s">
        <v>13</v>
      </c>
      <c r="H36" s="382" t="s">
        <v>88</v>
      </c>
      <c r="I36" s="176" t="s">
        <v>12</v>
      </c>
      <c r="J36" s="400" t="s">
        <v>200</v>
      </c>
      <c r="K36" s="400" t="s">
        <v>199</v>
      </c>
      <c r="L36" s="400" t="s">
        <v>201</v>
      </c>
      <c r="M36" s="400" t="s">
        <v>149</v>
      </c>
      <c r="N36" s="400" t="s">
        <v>179</v>
      </c>
      <c r="O36" s="400" t="s">
        <v>304</v>
      </c>
    </row>
    <row r="37" spans="1:15" ht="30" x14ac:dyDescent="0.25">
      <c r="A37" s="485" t="s">
        <v>84</v>
      </c>
      <c r="B37" s="485" t="s">
        <v>9</v>
      </c>
      <c r="C37" s="485" t="s">
        <v>183</v>
      </c>
      <c r="D37" s="485" t="s">
        <v>142</v>
      </c>
      <c r="E37" s="329" t="s">
        <v>142</v>
      </c>
      <c r="F37" s="485" t="s">
        <v>142</v>
      </c>
      <c r="G37" s="485" t="s">
        <v>22</v>
      </c>
      <c r="H37" s="93">
        <v>41449</v>
      </c>
      <c r="I37" s="485" t="s">
        <v>172</v>
      </c>
      <c r="J37" s="96">
        <v>7.0349999999999996E-2</v>
      </c>
      <c r="K37" s="96" t="s">
        <v>299</v>
      </c>
      <c r="L37" s="292">
        <v>7.0349999999999996E-2</v>
      </c>
      <c r="M37" s="292">
        <f>+O37*50000/1000000</f>
        <v>6.4935000000000007E-2</v>
      </c>
      <c r="N37" s="292">
        <f>M37-L37</f>
        <v>-5.4149999999999893E-3</v>
      </c>
      <c r="O37" s="486">
        <v>1.2987</v>
      </c>
    </row>
    <row r="38" spans="1:15" ht="30" x14ac:dyDescent="0.25">
      <c r="A38" s="111" t="s">
        <v>297</v>
      </c>
      <c r="B38" s="99"/>
      <c r="C38" s="2"/>
      <c r="D38" s="2"/>
      <c r="E38" s="2"/>
      <c r="F38" s="2"/>
      <c r="G38" s="2"/>
      <c r="H38" s="3"/>
      <c r="I38" s="2"/>
      <c r="J38" s="293"/>
      <c r="K38" s="293"/>
      <c r="L38" s="491">
        <f>L37</f>
        <v>7.0349999999999996E-2</v>
      </c>
      <c r="M38" s="144"/>
      <c r="N38" s="491">
        <f>IF(N37&gt;0,N37,0)</f>
        <v>0</v>
      </c>
      <c r="O38" s="144"/>
    </row>
    <row r="39" spans="1:15" ht="15" x14ac:dyDescent="0.25">
      <c r="A39" s="99"/>
      <c r="B39" s="99"/>
      <c r="C39" s="99"/>
      <c r="D39" s="99"/>
      <c r="E39" s="99"/>
      <c r="F39" s="99"/>
      <c r="G39" s="99"/>
      <c r="H39" s="388"/>
      <c r="I39" s="99"/>
      <c r="J39" s="144"/>
      <c r="K39" s="144"/>
      <c r="L39" s="144"/>
      <c r="M39" s="144"/>
      <c r="N39" s="144"/>
      <c r="O39" s="144"/>
    </row>
    <row r="40" spans="1:15" ht="15" x14ac:dyDescent="0.25">
      <c r="A40" s="99"/>
      <c r="B40" s="99"/>
      <c r="C40" s="99"/>
      <c r="D40" s="99"/>
      <c r="E40" s="99"/>
      <c r="F40" s="99"/>
      <c r="G40" s="99"/>
      <c r="H40" s="388"/>
      <c r="I40" s="99"/>
      <c r="J40" s="77"/>
      <c r="K40" s="144"/>
      <c r="L40" s="144"/>
      <c r="M40" s="77"/>
      <c r="N40" s="77"/>
      <c r="O40" s="77"/>
    </row>
    <row r="41" spans="1:15" ht="15" x14ac:dyDescent="0.25">
      <c r="A41" s="99"/>
      <c r="B41" s="99"/>
      <c r="C41" s="99"/>
      <c r="D41" s="99"/>
      <c r="E41" s="99"/>
      <c r="F41" s="99"/>
      <c r="G41" s="99"/>
      <c r="H41" s="388"/>
      <c r="I41" s="99"/>
      <c r="J41" s="77"/>
      <c r="K41" s="77"/>
      <c r="L41" s="77"/>
      <c r="M41" s="77"/>
      <c r="N41" s="77"/>
      <c r="O41" s="77"/>
    </row>
    <row r="42" spans="1:15" ht="15" x14ac:dyDescent="0.25">
      <c r="A42" s="99"/>
      <c r="B42" s="99"/>
      <c r="C42" s="99"/>
      <c r="D42" s="99"/>
      <c r="E42" s="99"/>
      <c r="F42" s="99"/>
      <c r="G42" s="99"/>
      <c r="H42" s="388"/>
      <c r="I42" s="99"/>
      <c r="J42" s="77"/>
      <c r="K42" s="77"/>
      <c r="L42" s="77"/>
      <c r="M42" s="77"/>
      <c r="N42" s="77"/>
      <c r="O42" s="77"/>
    </row>
    <row r="43" spans="1:15" ht="15" x14ac:dyDescent="0.25">
      <c r="A43" s="99"/>
      <c r="B43" s="99"/>
      <c r="C43" s="99"/>
      <c r="D43" s="99"/>
      <c r="E43" s="99"/>
      <c r="F43" s="99"/>
      <c r="G43" s="99"/>
      <c r="H43" s="388"/>
      <c r="I43" s="99"/>
      <c r="J43" s="77"/>
      <c r="K43" s="77"/>
      <c r="L43" s="77"/>
      <c r="M43" s="77"/>
      <c r="N43" s="77"/>
      <c r="O43" s="77"/>
    </row>
    <row r="44" spans="1:15" ht="15" x14ac:dyDescent="0.25">
      <c r="A44" s="99"/>
      <c r="B44" s="99"/>
      <c r="C44" s="99"/>
      <c r="D44" s="99"/>
      <c r="E44" s="99"/>
      <c r="F44" s="99"/>
      <c r="G44" s="99"/>
      <c r="H44" s="388"/>
      <c r="I44" s="99"/>
      <c r="J44" s="77"/>
      <c r="K44" s="77"/>
      <c r="L44" s="77"/>
      <c r="M44" s="77"/>
      <c r="N44" s="77"/>
      <c r="O44" s="77"/>
    </row>
    <row r="45" spans="1:15" ht="15" x14ac:dyDescent="0.25">
      <c r="A45" s="99"/>
      <c r="B45" s="99"/>
      <c r="C45" s="99"/>
      <c r="D45" s="99"/>
      <c r="E45" s="99"/>
      <c r="F45" s="99"/>
      <c r="G45" s="99"/>
      <c r="H45" s="388"/>
      <c r="I45" s="99"/>
      <c r="J45" s="77"/>
      <c r="K45" s="77"/>
      <c r="L45" s="77"/>
      <c r="M45" s="77"/>
      <c r="N45" s="77"/>
      <c r="O45" s="77"/>
    </row>
    <row r="46" spans="1:15" ht="15" x14ac:dyDescent="0.25">
      <c r="A46" s="99"/>
      <c r="B46" s="99"/>
      <c r="C46" s="99"/>
      <c r="D46" s="99"/>
      <c r="E46" s="99"/>
      <c r="F46" s="99"/>
      <c r="G46" s="99"/>
      <c r="H46" s="388"/>
      <c r="I46" s="99"/>
      <c r="J46" s="77"/>
      <c r="K46" s="77"/>
      <c r="L46" s="77"/>
      <c r="M46" s="77"/>
      <c r="N46" s="77"/>
      <c r="O46" s="77"/>
    </row>
    <row r="47" spans="1:15" ht="15.6" thickBot="1" x14ac:dyDescent="0.3">
      <c r="A47" s="904"/>
      <c r="B47" s="904"/>
      <c r="C47" s="904"/>
      <c r="D47" s="904"/>
      <c r="E47" s="904"/>
      <c r="F47" s="904"/>
      <c r="G47" s="904"/>
      <c r="H47" s="904"/>
      <c r="I47" s="904"/>
      <c r="J47" s="904"/>
      <c r="K47" s="904"/>
      <c r="L47" s="904"/>
      <c r="M47" s="904"/>
      <c r="N47" s="904"/>
      <c r="O47" s="904"/>
    </row>
    <row r="48" spans="1:15" ht="15.6" x14ac:dyDescent="0.3">
      <c r="A48" s="905"/>
      <c r="B48" s="905"/>
      <c r="C48" s="905"/>
      <c r="D48" s="905"/>
      <c r="E48" s="905"/>
      <c r="F48" s="905"/>
      <c r="G48" s="99"/>
      <c r="H48" s="388"/>
      <c r="I48" s="99"/>
      <c r="J48" s="77"/>
      <c r="K48" s="77"/>
      <c r="L48" s="77"/>
      <c r="M48" s="77"/>
      <c r="N48" s="77"/>
      <c r="O48" s="77"/>
    </row>
    <row r="49" spans="1:15" ht="15.6" x14ac:dyDescent="0.3">
      <c r="A49" s="202"/>
      <c r="B49" s="203"/>
      <c r="C49" s="203"/>
      <c r="D49" s="202"/>
      <c r="E49" s="202"/>
      <c r="F49" s="202"/>
      <c r="G49" s="99"/>
      <c r="H49" s="384"/>
      <c r="I49" s="99"/>
      <c r="J49" s="77"/>
      <c r="K49" s="77"/>
      <c r="L49" s="77"/>
      <c r="M49" s="77"/>
      <c r="N49" s="77"/>
      <c r="O49" s="77"/>
    </row>
    <row r="50" spans="1:15" ht="15" x14ac:dyDescent="0.25">
      <c r="A50" s="391"/>
      <c r="B50" s="391"/>
      <c r="C50" s="391"/>
      <c r="D50" s="391"/>
      <c r="E50" s="391"/>
      <c r="F50" s="391"/>
      <c r="G50" s="99"/>
      <c r="H50" s="388"/>
      <c r="I50" s="99"/>
      <c r="J50" s="77"/>
      <c r="K50" s="77"/>
      <c r="L50" s="77"/>
      <c r="M50" s="77"/>
      <c r="N50" s="77"/>
      <c r="O50" s="77"/>
    </row>
    <row r="51" spans="1:15" ht="15" x14ac:dyDescent="0.25">
      <c r="A51" s="395"/>
      <c r="B51" s="392"/>
      <c r="C51" s="392"/>
      <c r="D51" s="392"/>
      <c r="E51" s="392"/>
      <c r="F51" s="205"/>
      <c r="G51" s="99"/>
      <c r="H51" s="388"/>
      <c r="I51" s="99"/>
      <c r="J51" s="77"/>
      <c r="K51" s="77"/>
      <c r="L51" s="77"/>
      <c r="M51" s="77"/>
      <c r="N51" s="77"/>
      <c r="O51" s="77"/>
    </row>
    <row r="52" spans="1:15" ht="15" x14ac:dyDescent="0.25">
      <c r="A52" s="395"/>
      <c r="B52" s="392"/>
      <c r="C52" s="392"/>
      <c r="D52" s="392"/>
      <c r="E52" s="392"/>
      <c r="F52" s="205"/>
      <c r="G52" s="99"/>
      <c r="H52" s="388"/>
      <c r="I52" s="99"/>
      <c r="J52" s="77"/>
      <c r="K52" s="77"/>
      <c r="L52" s="77"/>
      <c r="M52" s="77"/>
      <c r="N52" s="77"/>
      <c r="O52" s="77"/>
    </row>
    <row r="53" spans="1:15" ht="15" x14ac:dyDescent="0.25">
      <c r="A53" s="391"/>
      <c r="B53" s="392"/>
      <c r="C53" s="392"/>
      <c r="D53" s="392"/>
      <c r="E53" s="392"/>
      <c r="F53" s="205"/>
      <c r="G53" s="99"/>
      <c r="H53" s="388"/>
      <c r="I53" s="99"/>
      <c r="J53" s="77"/>
      <c r="K53" s="77"/>
      <c r="L53" s="77"/>
      <c r="M53" s="77"/>
      <c r="N53" s="77"/>
      <c r="O53" s="77"/>
    </row>
    <row r="54" spans="1:15" ht="15" x14ac:dyDescent="0.25">
      <c r="A54" s="395"/>
      <c r="B54" s="392"/>
      <c r="C54" s="392"/>
      <c r="D54" s="392"/>
      <c r="E54" s="392"/>
      <c r="F54" s="205"/>
      <c r="G54" s="99"/>
      <c r="H54" s="388"/>
      <c r="I54" s="99"/>
      <c r="J54" s="77"/>
      <c r="K54" s="77"/>
      <c r="L54" s="77"/>
      <c r="M54" s="77"/>
      <c r="N54" s="77"/>
      <c r="O54" s="77"/>
    </row>
    <row r="55" spans="1:15" ht="15" x14ac:dyDescent="0.25">
      <c r="A55" s="391"/>
      <c r="B55" s="392"/>
      <c r="C55" s="392"/>
      <c r="D55" s="392"/>
      <c r="E55" s="392"/>
      <c r="F55" s="205"/>
      <c r="G55" s="99"/>
      <c r="H55" s="388"/>
      <c r="I55" s="99"/>
      <c r="J55" s="77"/>
      <c r="K55" s="77"/>
      <c r="L55" s="77"/>
      <c r="M55" s="77"/>
      <c r="N55" s="77"/>
      <c r="O55" s="77"/>
    </row>
    <row r="56" spans="1:15" ht="15" x14ac:dyDescent="0.25">
      <c r="A56" s="391"/>
      <c r="B56" s="392"/>
      <c r="C56" s="392"/>
      <c r="D56" s="392"/>
      <c r="E56" s="392"/>
      <c r="F56" s="205"/>
      <c r="G56" s="99"/>
      <c r="H56" s="388"/>
      <c r="I56" s="99"/>
      <c r="J56" s="77"/>
      <c r="K56" s="77"/>
      <c r="L56" s="77"/>
      <c r="M56" s="77"/>
      <c r="N56" s="77"/>
      <c r="O56" s="77"/>
    </row>
    <row r="57" spans="1:15" ht="16.8" x14ac:dyDescent="0.4">
      <c r="A57" s="391"/>
      <c r="B57" s="393"/>
      <c r="C57" s="393"/>
      <c r="D57" s="393"/>
      <c r="E57" s="393"/>
      <c r="F57" s="207"/>
      <c r="G57" s="99"/>
      <c r="H57" s="389"/>
      <c r="I57" s="99"/>
      <c r="J57" s="77"/>
      <c r="K57" s="77"/>
      <c r="L57" s="77"/>
      <c r="M57" s="77"/>
      <c r="N57" s="77"/>
      <c r="O57" s="77"/>
    </row>
    <row r="58" spans="1:15" ht="16.8" x14ac:dyDescent="0.4">
      <c r="A58" s="391"/>
      <c r="B58" s="394"/>
      <c r="C58" s="394"/>
      <c r="D58" s="394"/>
      <c r="E58" s="394"/>
      <c r="F58" s="210"/>
      <c r="G58" s="99"/>
      <c r="H58" s="390"/>
      <c r="I58" s="99"/>
      <c r="J58" s="77"/>
      <c r="K58" s="77"/>
      <c r="L58" s="77"/>
      <c r="M58" s="77"/>
      <c r="N58" s="77"/>
      <c r="O58" s="77"/>
    </row>
    <row r="59" spans="1:15" ht="15" x14ac:dyDescent="0.25">
      <c r="A59" s="391"/>
      <c r="B59" s="391"/>
      <c r="C59" s="391"/>
      <c r="D59" s="391"/>
      <c r="E59" s="391"/>
      <c r="F59" s="391"/>
      <c r="G59" s="99"/>
      <c r="H59" s="388"/>
      <c r="I59" s="99"/>
      <c r="J59" s="77"/>
      <c r="K59" s="77"/>
      <c r="L59" s="77"/>
      <c r="M59" s="77"/>
      <c r="N59" s="77"/>
      <c r="O59" s="77"/>
    </row>
    <row r="60" spans="1:15" ht="15" x14ac:dyDescent="0.25">
      <c r="A60" s="99"/>
      <c r="B60" s="99"/>
      <c r="C60" s="99"/>
      <c r="D60" s="99"/>
      <c r="E60" s="99"/>
      <c r="F60" s="99"/>
      <c r="G60" s="99"/>
      <c r="H60" s="388"/>
      <c r="I60" s="99"/>
      <c r="J60" s="77"/>
      <c r="K60" s="77"/>
      <c r="L60" s="77"/>
      <c r="M60" s="77"/>
      <c r="N60" s="77"/>
      <c r="O60" s="77"/>
    </row>
    <row r="61" spans="1:15" ht="15" x14ac:dyDescent="0.25">
      <c r="A61" s="99"/>
      <c r="B61" s="99"/>
      <c r="C61" s="99"/>
      <c r="D61" s="99"/>
      <c r="E61" s="99"/>
      <c r="F61" s="99"/>
      <c r="G61" s="99"/>
      <c r="H61" s="388"/>
      <c r="I61" s="99"/>
      <c r="J61" s="77"/>
      <c r="K61" s="77"/>
      <c r="L61" s="77"/>
      <c r="M61" s="77"/>
      <c r="N61" s="77"/>
      <c r="O61" s="77"/>
    </row>
    <row r="62" spans="1:15" ht="15" x14ac:dyDescent="0.25">
      <c r="A62" s="99"/>
      <c r="B62" s="99"/>
      <c r="C62" s="99"/>
      <c r="D62" s="99"/>
      <c r="E62" s="99"/>
      <c r="F62" s="99"/>
      <c r="G62" s="99"/>
      <c r="H62" s="388"/>
      <c r="I62" s="99"/>
      <c r="J62" s="77"/>
      <c r="K62" s="77"/>
      <c r="L62" s="77"/>
      <c r="M62" s="77"/>
      <c r="N62" s="77"/>
      <c r="O62" s="77"/>
    </row>
    <row r="63" spans="1:15" ht="15" x14ac:dyDescent="0.25">
      <c r="A63" s="99"/>
      <c r="B63" s="99"/>
      <c r="C63" s="99"/>
      <c r="D63" s="99"/>
      <c r="E63" s="99"/>
      <c r="F63" s="99"/>
      <c r="G63" s="99"/>
      <c r="H63" s="388"/>
      <c r="I63" s="99"/>
      <c r="J63" s="77"/>
      <c r="K63" s="77"/>
      <c r="L63" s="77"/>
      <c r="M63" s="77"/>
      <c r="N63" s="77"/>
      <c r="O63" s="77"/>
    </row>
    <row r="64" spans="1:15" ht="15" x14ac:dyDescent="0.25">
      <c r="A64" s="99"/>
      <c r="B64" s="99"/>
      <c r="C64" s="99"/>
      <c r="D64" s="99"/>
      <c r="E64" s="99"/>
      <c r="F64" s="99"/>
      <c r="G64" s="99"/>
      <c r="H64" s="388"/>
      <c r="I64" s="99"/>
      <c r="J64" s="77"/>
      <c r="K64" s="77"/>
      <c r="L64" s="77"/>
      <c r="M64" s="77"/>
      <c r="N64" s="77"/>
      <c r="O64" s="77"/>
    </row>
    <row r="65" spans="1:15" ht="15" x14ac:dyDescent="0.25">
      <c r="A65" s="99"/>
      <c r="B65" s="99"/>
      <c r="C65" s="99"/>
      <c r="D65" s="99"/>
      <c r="E65" s="99"/>
      <c r="F65" s="99"/>
      <c r="G65" s="99"/>
      <c r="H65" s="388"/>
      <c r="I65" s="99"/>
      <c r="J65" s="77"/>
      <c r="K65" s="77"/>
      <c r="L65" s="77"/>
      <c r="M65" s="77"/>
      <c r="N65" s="77"/>
      <c r="O65" s="77"/>
    </row>
    <row r="66" spans="1:15" ht="15" x14ac:dyDescent="0.25">
      <c r="A66" s="99"/>
      <c r="B66" s="99"/>
      <c r="C66" s="99"/>
      <c r="D66" s="99"/>
      <c r="E66" s="99"/>
      <c r="F66" s="99"/>
      <c r="G66" s="99"/>
      <c r="H66" s="388"/>
      <c r="I66" s="99"/>
      <c r="J66" s="77"/>
      <c r="K66" s="77"/>
      <c r="L66" s="77"/>
      <c r="M66" s="77"/>
      <c r="N66" s="77"/>
      <c r="O66" s="77"/>
    </row>
    <row r="67" spans="1:15" ht="15" x14ac:dyDescent="0.25">
      <c r="A67" s="99"/>
      <c r="B67" s="99"/>
      <c r="C67" s="99"/>
      <c r="D67" s="99"/>
      <c r="E67" s="99"/>
      <c r="F67" s="99"/>
      <c r="G67" s="99"/>
      <c r="H67" s="388"/>
      <c r="I67" s="99"/>
      <c r="J67" s="77"/>
      <c r="K67" s="77"/>
      <c r="L67" s="77"/>
      <c r="M67" s="77"/>
      <c r="N67" s="77"/>
      <c r="O67" s="77"/>
    </row>
    <row r="68" spans="1:15" ht="15" x14ac:dyDescent="0.25">
      <c r="A68" s="99"/>
      <c r="B68" s="99"/>
      <c r="C68" s="99"/>
      <c r="D68" s="99"/>
      <c r="E68" s="99"/>
      <c r="F68" s="99"/>
      <c r="G68" s="99"/>
      <c r="H68" s="388"/>
      <c r="I68" s="99"/>
      <c r="J68" s="77"/>
      <c r="K68" s="77"/>
      <c r="L68" s="77"/>
      <c r="M68" s="77"/>
      <c r="N68" s="77"/>
      <c r="O68" s="77"/>
    </row>
    <row r="69" spans="1:15" ht="15" x14ac:dyDescent="0.25">
      <c r="A69" s="99"/>
      <c r="B69" s="99"/>
      <c r="C69" s="99"/>
      <c r="D69" s="99"/>
      <c r="E69" s="99"/>
      <c r="F69" s="99"/>
      <c r="G69" s="99"/>
      <c r="H69" s="388"/>
      <c r="I69" s="99"/>
      <c r="J69" s="77"/>
      <c r="K69" s="77"/>
      <c r="L69" s="77"/>
      <c r="M69" s="77"/>
      <c r="N69" s="77"/>
      <c r="O69" s="77"/>
    </row>
    <row r="70" spans="1:15" ht="15" x14ac:dyDescent="0.25">
      <c r="A70" s="99"/>
      <c r="B70" s="99"/>
      <c r="C70" s="99"/>
      <c r="D70" s="99"/>
      <c r="E70" s="99"/>
      <c r="F70" s="99"/>
      <c r="G70" s="99"/>
      <c r="H70" s="388"/>
      <c r="I70" s="99"/>
      <c r="J70" s="77"/>
      <c r="K70" s="77"/>
      <c r="L70" s="77"/>
      <c r="M70" s="77"/>
      <c r="N70" s="77"/>
      <c r="O70" s="77"/>
    </row>
    <row r="71" spans="1:15" ht="15" x14ac:dyDescent="0.25">
      <c r="A71" s="99"/>
      <c r="B71" s="99"/>
      <c r="C71" s="99"/>
      <c r="D71" s="99"/>
      <c r="E71" s="99"/>
      <c r="F71" s="99"/>
      <c r="G71" s="99"/>
      <c r="H71" s="388"/>
      <c r="I71" s="99"/>
      <c r="J71" s="77"/>
      <c r="K71" s="77"/>
      <c r="L71" s="77"/>
      <c r="M71" s="77"/>
      <c r="N71" s="77"/>
      <c r="O71" s="77"/>
    </row>
    <row r="72" spans="1:15" ht="15" x14ac:dyDescent="0.25">
      <c r="A72" s="99"/>
      <c r="B72" s="99"/>
      <c r="C72" s="99"/>
      <c r="D72" s="99"/>
      <c r="E72" s="99"/>
      <c r="F72" s="99"/>
      <c r="G72" s="99"/>
      <c r="H72" s="388"/>
      <c r="I72" s="99"/>
      <c r="J72" s="77"/>
      <c r="K72" s="77"/>
      <c r="L72" s="77"/>
      <c r="M72" s="77"/>
      <c r="N72" s="77"/>
      <c r="O72" s="77"/>
    </row>
    <row r="73" spans="1:15" ht="15" x14ac:dyDescent="0.25">
      <c r="A73" s="99"/>
      <c r="B73" s="99"/>
      <c r="C73" s="99"/>
      <c r="D73" s="99"/>
      <c r="E73" s="99"/>
      <c r="F73" s="99"/>
      <c r="G73" s="99"/>
      <c r="H73" s="388"/>
      <c r="I73" s="99"/>
      <c r="J73" s="77"/>
      <c r="K73" s="77"/>
      <c r="L73" s="77"/>
      <c r="M73" s="77"/>
      <c r="N73" s="77"/>
      <c r="O73" s="77"/>
    </row>
    <row r="74" spans="1:15" ht="15" x14ac:dyDescent="0.25">
      <c r="A74" s="99"/>
      <c r="B74" s="99"/>
      <c r="C74" s="99"/>
      <c r="D74" s="99"/>
      <c r="E74" s="99"/>
      <c r="F74" s="99"/>
      <c r="G74" s="99"/>
      <c r="H74" s="388"/>
      <c r="I74" s="99"/>
      <c r="J74" s="77"/>
      <c r="K74" s="77"/>
      <c r="L74" s="77"/>
      <c r="M74" s="77"/>
      <c r="N74" s="77"/>
      <c r="O74" s="77"/>
    </row>
    <row r="75" spans="1:15" ht="15" x14ac:dyDescent="0.25">
      <c r="A75" s="99"/>
      <c r="B75" s="99"/>
      <c r="C75" s="99"/>
      <c r="D75" s="99"/>
      <c r="E75" s="99"/>
      <c r="F75" s="99"/>
      <c r="G75" s="99"/>
      <c r="H75" s="388"/>
      <c r="I75" s="99"/>
      <c r="J75" s="77"/>
      <c r="K75" s="77"/>
      <c r="L75" s="77"/>
      <c r="M75" s="77"/>
      <c r="N75" s="77"/>
      <c r="O75" s="77"/>
    </row>
    <row r="76" spans="1:15" ht="15" x14ac:dyDescent="0.25">
      <c r="A76" s="99"/>
      <c r="B76" s="99"/>
      <c r="C76" s="99"/>
      <c r="D76" s="99"/>
      <c r="E76" s="99"/>
      <c r="F76" s="99"/>
      <c r="G76" s="99"/>
      <c r="H76" s="388"/>
      <c r="I76" s="99"/>
      <c r="J76" s="77"/>
      <c r="K76" s="77"/>
      <c r="L76" s="77"/>
      <c r="M76" s="77"/>
      <c r="N76" s="77"/>
      <c r="O76" s="77"/>
    </row>
    <row r="77" spans="1:15" ht="15" x14ac:dyDescent="0.25">
      <c r="A77" s="99"/>
      <c r="B77" s="99"/>
      <c r="C77" s="99"/>
      <c r="D77" s="99"/>
      <c r="E77" s="99"/>
      <c r="F77" s="99"/>
      <c r="G77" s="99"/>
      <c r="H77" s="388"/>
      <c r="I77" s="99"/>
      <c r="J77" s="77"/>
      <c r="K77" s="77"/>
      <c r="L77" s="77"/>
      <c r="M77" s="77"/>
      <c r="N77" s="77"/>
      <c r="O77" s="77"/>
    </row>
    <row r="78" spans="1:15" ht="15" x14ac:dyDescent="0.25">
      <c r="A78" s="99"/>
      <c r="B78" s="99"/>
      <c r="C78" s="99"/>
      <c r="D78" s="99"/>
      <c r="E78" s="99"/>
      <c r="F78" s="99"/>
      <c r="G78" s="99"/>
      <c r="H78" s="388"/>
      <c r="I78" s="99"/>
      <c r="J78" s="77"/>
      <c r="K78" s="77"/>
      <c r="L78" s="77"/>
      <c r="M78" s="77"/>
      <c r="N78" s="77"/>
      <c r="O78" s="77"/>
    </row>
    <row r="79" spans="1:15" ht="15" x14ac:dyDescent="0.25">
      <c r="A79" s="99"/>
      <c r="B79" s="99"/>
      <c r="C79" s="99"/>
      <c r="D79" s="99"/>
      <c r="E79" s="99"/>
      <c r="F79" s="99"/>
      <c r="G79" s="99"/>
      <c r="H79" s="388"/>
      <c r="I79" s="99"/>
      <c r="J79" s="77"/>
      <c r="K79" s="77"/>
      <c r="L79" s="77"/>
      <c r="M79" s="77"/>
      <c r="N79" s="77"/>
      <c r="O79" s="77"/>
    </row>
    <row r="80" spans="1:15" ht="15" x14ac:dyDescent="0.25">
      <c r="A80" s="99"/>
      <c r="B80" s="99"/>
      <c r="C80" s="99"/>
      <c r="D80" s="99"/>
      <c r="E80" s="99"/>
      <c r="F80" s="99"/>
      <c r="G80" s="99"/>
      <c r="H80" s="388"/>
      <c r="I80" s="99"/>
      <c r="J80" s="77"/>
      <c r="K80" s="77"/>
      <c r="L80" s="77"/>
      <c r="M80" s="77"/>
      <c r="N80" s="77"/>
      <c r="O80" s="77"/>
    </row>
    <row r="81" spans="1:15" ht="15" x14ac:dyDescent="0.25">
      <c r="A81" s="99"/>
      <c r="B81" s="99"/>
      <c r="C81" s="99"/>
      <c r="D81" s="99"/>
      <c r="E81" s="99"/>
      <c r="F81" s="99"/>
      <c r="G81" s="99"/>
      <c r="H81" s="388"/>
      <c r="I81" s="99"/>
      <c r="J81" s="77"/>
      <c r="K81" s="77"/>
      <c r="L81" s="77"/>
      <c r="M81" s="77"/>
      <c r="N81" s="77"/>
      <c r="O81" s="77"/>
    </row>
    <row r="82" spans="1:15" ht="15" x14ac:dyDescent="0.25">
      <c r="A82" s="99"/>
      <c r="B82" s="99"/>
      <c r="C82" s="99"/>
      <c r="D82" s="99"/>
      <c r="E82" s="99"/>
      <c r="F82" s="99"/>
      <c r="G82" s="99"/>
      <c r="H82" s="388"/>
      <c r="I82" s="99"/>
      <c r="J82" s="77"/>
      <c r="K82" s="77"/>
      <c r="L82" s="77"/>
      <c r="M82" s="77"/>
      <c r="N82" s="77"/>
      <c r="O82" s="77"/>
    </row>
    <row r="83" spans="1:15" ht="15" x14ac:dyDescent="0.25">
      <c r="A83" s="99"/>
      <c r="B83" s="99"/>
      <c r="C83" s="99"/>
      <c r="D83" s="99"/>
      <c r="E83" s="99"/>
      <c r="F83" s="99"/>
      <c r="G83" s="99"/>
      <c r="H83" s="388"/>
      <c r="I83" s="99"/>
      <c r="J83" s="77"/>
      <c r="K83" s="77"/>
      <c r="L83" s="77"/>
      <c r="M83" s="77"/>
      <c r="N83" s="77"/>
      <c r="O83" s="77"/>
    </row>
    <row r="84" spans="1:15" ht="15" x14ac:dyDescent="0.25">
      <c r="A84" s="99"/>
      <c r="B84" s="99"/>
      <c r="C84" s="99"/>
      <c r="D84" s="99"/>
      <c r="E84" s="99"/>
      <c r="F84" s="99"/>
      <c r="G84" s="99"/>
      <c r="H84" s="388"/>
      <c r="I84" s="99"/>
      <c r="J84" s="77"/>
      <c r="K84" s="77"/>
      <c r="L84" s="77"/>
      <c r="M84" s="77"/>
      <c r="N84" s="77"/>
      <c r="O84" s="77"/>
    </row>
    <row r="85" spans="1:15" ht="15" x14ac:dyDescent="0.25">
      <c r="A85" s="99"/>
      <c r="B85" s="99"/>
      <c r="C85" s="99"/>
      <c r="D85" s="99"/>
      <c r="E85" s="99"/>
      <c r="F85" s="99"/>
      <c r="G85" s="99"/>
      <c r="H85" s="388"/>
      <c r="I85" s="99"/>
      <c r="J85" s="77"/>
      <c r="K85" s="77"/>
      <c r="L85" s="77"/>
      <c r="M85" s="77"/>
      <c r="N85" s="77"/>
      <c r="O85" s="77"/>
    </row>
    <row r="86" spans="1:15" ht="15" x14ac:dyDescent="0.25">
      <c r="A86" s="99"/>
      <c r="B86" s="99"/>
      <c r="C86" s="99"/>
      <c r="D86" s="99"/>
      <c r="E86" s="99"/>
      <c r="F86" s="99"/>
      <c r="G86" s="99"/>
      <c r="H86" s="388"/>
      <c r="I86" s="99"/>
      <c r="J86" s="77"/>
      <c r="K86" s="77"/>
      <c r="L86" s="77"/>
      <c r="M86" s="77"/>
      <c r="N86" s="77"/>
      <c r="O86" s="77"/>
    </row>
    <row r="87" spans="1:15" ht="15" x14ac:dyDescent="0.25">
      <c r="A87" s="99"/>
      <c r="B87" s="99"/>
      <c r="C87" s="99"/>
      <c r="D87" s="99"/>
      <c r="E87" s="99"/>
      <c r="F87" s="99"/>
      <c r="G87" s="99"/>
      <c r="H87" s="388"/>
      <c r="I87" s="99"/>
      <c r="J87" s="77"/>
      <c r="K87" s="77"/>
      <c r="L87" s="77"/>
      <c r="M87" s="77"/>
      <c r="N87" s="77"/>
      <c r="O87" s="77"/>
    </row>
    <row r="88" spans="1:15" ht="15" x14ac:dyDescent="0.25">
      <c r="A88" s="99"/>
      <c r="B88" s="99"/>
      <c r="C88" s="99"/>
      <c r="D88" s="99"/>
      <c r="E88" s="99"/>
      <c r="F88" s="99"/>
      <c r="G88" s="99"/>
      <c r="H88" s="388"/>
      <c r="I88" s="99"/>
      <c r="J88" s="77"/>
      <c r="K88" s="77"/>
      <c r="L88" s="77"/>
      <c r="M88" s="77"/>
      <c r="N88" s="77"/>
      <c r="O88" s="77"/>
    </row>
    <row r="89" spans="1:15" ht="15" x14ac:dyDescent="0.25">
      <c r="A89" s="99"/>
      <c r="B89" s="99"/>
      <c r="C89" s="99"/>
      <c r="D89" s="99"/>
      <c r="E89" s="99"/>
      <c r="F89" s="99"/>
      <c r="G89" s="99"/>
      <c r="H89" s="388"/>
      <c r="I89" s="99"/>
      <c r="J89" s="77"/>
      <c r="K89" s="77"/>
      <c r="L89" s="77"/>
      <c r="M89" s="77"/>
      <c r="N89" s="77"/>
      <c r="O89" s="77"/>
    </row>
    <row r="90" spans="1:15" ht="15" x14ac:dyDescent="0.25">
      <c r="A90" s="99"/>
      <c r="B90" s="99"/>
      <c r="C90" s="99"/>
      <c r="D90" s="99"/>
      <c r="E90" s="99"/>
      <c r="F90" s="99"/>
      <c r="G90" s="99"/>
      <c r="H90" s="388"/>
      <c r="I90" s="99"/>
      <c r="J90" s="77"/>
      <c r="K90" s="77"/>
      <c r="L90" s="77"/>
      <c r="M90" s="77"/>
      <c r="N90" s="77"/>
      <c r="O90" s="77"/>
    </row>
    <row r="91" spans="1:15" ht="15" x14ac:dyDescent="0.25">
      <c r="A91" s="99"/>
      <c r="B91" s="99"/>
      <c r="C91" s="99"/>
      <c r="D91" s="99"/>
      <c r="E91" s="99"/>
      <c r="F91" s="99"/>
      <c r="G91" s="99"/>
      <c r="H91" s="388"/>
      <c r="I91" s="99"/>
      <c r="J91" s="77"/>
      <c r="K91" s="77"/>
      <c r="L91" s="77"/>
      <c r="M91" s="77"/>
      <c r="N91" s="77"/>
      <c r="O91" s="77"/>
    </row>
    <row r="92" spans="1:15" ht="15" x14ac:dyDescent="0.25">
      <c r="A92" s="99"/>
      <c r="B92" s="99"/>
      <c r="C92" s="99"/>
      <c r="D92" s="99"/>
      <c r="E92" s="99"/>
      <c r="F92" s="99"/>
      <c r="G92" s="99"/>
      <c r="H92" s="388"/>
      <c r="I92" s="99"/>
      <c r="J92" s="77"/>
      <c r="K92" s="77"/>
      <c r="L92" s="77"/>
      <c r="M92" s="77"/>
      <c r="N92" s="77"/>
      <c r="O92" s="77"/>
    </row>
    <row r="93" spans="1:15" ht="15" x14ac:dyDescent="0.25">
      <c r="A93" s="99"/>
      <c r="B93" s="99"/>
      <c r="C93" s="99"/>
      <c r="D93" s="99"/>
      <c r="E93" s="99"/>
      <c r="F93" s="99"/>
      <c r="G93" s="99"/>
      <c r="H93" s="388"/>
      <c r="I93" s="99"/>
      <c r="J93" s="77"/>
      <c r="K93" s="77"/>
      <c r="L93" s="77"/>
      <c r="M93" s="77"/>
      <c r="N93" s="77"/>
      <c r="O93" s="77"/>
    </row>
    <row r="94" spans="1:15" ht="15" x14ac:dyDescent="0.25">
      <c r="A94" s="99"/>
      <c r="B94" s="99"/>
      <c r="C94" s="99"/>
      <c r="D94" s="99"/>
      <c r="E94" s="99"/>
      <c r="F94" s="99"/>
      <c r="G94" s="99"/>
      <c r="H94" s="388"/>
      <c r="I94" s="99"/>
      <c r="J94" s="77"/>
      <c r="K94" s="77"/>
      <c r="L94" s="77"/>
      <c r="M94" s="77"/>
      <c r="N94" s="77"/>
      <c r="O94" s="77"/>
    </row>
    <row r="95" spans="1:15" ht="15" x14ac:dyDescent="0.25">
      <c r="A95" s="99"/>
      <c r="B95" s="99"/>
      <c r="C95" s="99"/>
      <c r="D95" s="99"/>
      <c r="E95" s="99"/>
      <c r="F95" s="99"/>
      <c r="G95" s="99"/>
      <c r="H95" s="388"/>
      <c r="I95" s="99"/>
      <c r="J95" s="77"/>
      <c r="K95" s="77"/>
      <c r="L95" s="77"/>
      <c r="M95" s="77"/>
      <c r="N95" s="77"/>
      <c r="O95" s="77"/>
    </row>
    <row r="96" spans="1:15" ht="15" x14ac:dyDescent="0.25">
      <c r="A96" s="99"/>
      <c r="B96" s="99"/>
      <c r="C96" s="99"/>
      <c r="D96" s="99"/>
      <c r="E96" s="99"/>
      <c r="F96" s="99"/>
      <c r="G96" s="99"/>
      <c r="H96" s="388"/>
      <c r="I96" s="99"/>
      <c r="J96" s="77"/>
      <c r="K96" s="77"/>
      <c r="L96" s="77"/>
      <c r="M96" s="77"/>
      <c r="N96" s="77"/>
      <c r="O96" s="77"/>
    </row>
    <row r="97" spans="1:15" ht="15" x14ac:dyDescent="0.25">
      <c r="A97" s="99"/>
      <c r="B97" s="99"/>
      <c r="C97" s="99"/>
      <c r="D97" s="99"/>
      <c r="E97" s="99"/>
      <c r="F97" s="99"/>
      <c r="G97" s="99"/>
      <c r="H97" s="388"/>
      <c r="I97" s="99"/>
      <c r="J97" s="77"/>
      <c r="K97" s="77"/>
      <c r="L97" s="77"/>
      <c r="M97" s="77"/>
      <c r="N97" s="77"/>
      <c r="O97" s="77"/>
    </row>
    <row r="98" spans="1:15" ht="15" x14ac:dyDescent="0.25">
      <c r="A98" s="99"/>
      <c r="B98" s="99"/>
      <c r="C98" s="99"/>
      <c r="D98" s="99"/>
      <c r="E98" s="99"/>
      <c r="F98" s="99"/>
      <c r="G98" s="99"/>
      <c r="H98" s="388"/>
      <c r="I98" s="99"/>
      <c r="J98" s="77"/>
      <c r="K98" s="77"/>
      <c r="L98" s="77"/>
      <c r="M98" s="77"/>
      <c r="N98" s="77"/>
      <c r="O98" s="77"/>
    </row>
    <row r="99" spans="1:15" ht="15" x14ac:dyDescent="0.25">
      <c r="A99" s="99"/>
      <c r="B99" s="99"/>
      <c r="C99" s="99"/>
      <c r="D99" s="99"/>
      <c r="E99" s="99"/>
      <c r="F99" s="99"/>
      <c r="G99" s="99"/>
      <c r="H99" s="388"/>
      <c r="I99" s="99"/>
      <c r="J99" s="77"/>
      <c r="K99" s="77"/>
      <c r="L99" s="77"/>
      <c r="M99" s="77"/>
      <c r="N99" s="77"/>
      <c r="O99" s="77"/>
    </row>
    <row r="100" spans="1:15" ht="15.6" thickBot="1" x14ac:dyDescent="0.3">
      <c r="A100" s="99"/>
      <c r="B100" s="99"/>
      <c r="C100" s="99"/>
      <c r="D100" s="99"/>
      <c r="E100" s="99"/>
      <c r="F100" s="99"/>
      <c r="G100" s="99"/>
      <c r="H100" s="388"/>
      <c r="I100" s="99"/>
      <c r="J100" s="77"/>
      <c r="K100" s="77"/>
      <c r="L100" s="77"/>
      <c r="M100" s="77"/>
      <c r="N100" s="77"/>
      <c r="O100" s="77"/>
    </row>
    <row r="101" spans="1:15" ht="15" x14ac:dyDescent="0.25">
      <c r="A101" s="894" t="s">
        <v>195</v>
      </c>
      <c r="B101" s="895"/>
      <c r="C101" s="895"/>
      <c r="D101" s="895"/>
      <c r="E101" s="895"/>
      <c r="F101" s="896"/>
      <c r="G101" s="99"/>
      <c r="H101" s="388"/>
      <c r="I101" s="99"/>
      <c r="J101" s="77"/>
      <c r="K101" s="77"/>
      <c r="L101" s="77"/>
      <c r="M101" s="77"/>
      <c r="N101" s="77"/>
      <c r="O101" s="77"/>
    </row>
    <row r="102" spans="1:15" ht="15.6" thickBot="1" x14ac:dyDescent="0.3">
      <c r="A102" s="897"/>
      <c r="B102" s="898"/>
      <c r="C102" s="898"/>
      <c r="D102" s="898"/>
      <c r="E102" s="898"/>
      <c r="F102" s="899"/>
      <c r="G102" s="99"/>
      <c r="H102" s="388"/>
      <c r="I102" s="99"/>
      <c r="J102" s="77"/>
      <c r="K102" s="77"/>
      <c r="L102" s="77"/>
      <c r="M102" s="77"/>
      <c r="N102" s="77"/>
      <c r="O102" s="77"/>
    </row>
    <row r="103" spans="1:15" ht="15" x14ac:dyDescent="0.25">
      <c r="A103" s="162" t="s">
        <v>5</v>
      </c>
      <c r="B103" s="161" t="s">
        <v>6</v>
      </c>
      <c r="C103" s="161" t="s">
        <v>13</v>
      </c>
      <c r="D103" s="161" t="s">
        <v>82</v>
      </c>
      <c r="E103" s="161" t="s">
        <v>115</v>
      </c>
      <c r="F103" s="163" t="s">
        <v>116</v>
      </c>
      <c r="G103" s="99"/>
      <c r="H103" s="388"/>
      <c r="I103" s="99"/>
      <c r="J103" s="77"/>
      <c r="K103" s="77"/>
      <c r="L103" s="77"/>
      <c r="M103" s="77"/>
      <c r="N103" s="77"/>
      <c r="O103" s="77"/>
    </row>
    <row r="104" spans="1:15" ht="15" x14ac:dyDescent="0.25">
      <c r="A104" s="396" t="s">
        <v>239</v>
      </c>
      <c r="B104" s="106"/>
      <c r="C104" s="106"/>
      <c r="D104" s="106"/>
      <c r="E104" s="106"/>
      <c r="F104" s="107"/>
      <c r="G104" s="99"/>
      <c r="H104" s="388"/>
      <c r="I104" s="99"/>
      <c r="J104" s="77"/>
      <c r="K104" s="77"/>
      <c r="L104" s="77"/>
      <c r="M104" s="77"/>
      <c r="N104" s="77"/>
      <c r="O104" s="77"/>
    </row>
    <row r="105" spans="1:15" ht="30" x14ac:dyDescent="0.25">
      <c r="A105" s="396" t="s">
        <v>91</v>
      </c>
      <c r="B105" s="106" t="s">
        <v>190</v>
      </c>
      <c r="C105" s="106" t="s">
        <v>18</v>
      </c>
      <c r="D105" s="106" t="s">
        <v>8</v>
      </c>
      <c r="E105" s="106" t="s">
        <v>36</v>
      </c>
      <c r="F105" s="107" t="s">
        <v>29</v>
      </c>
      <c r="G105" s="99"/>
      <c r="H105" s="388"/>
      <c r="I105" s="99"/>
      <c r="J105" s="77"/>
      <c r="K105" s="77"/>
      <c r="L105" s="77"/>
      <c r="M105" s="77"/>
      <c r="N105" s="77"/>
      <c r="O105" s="77"/>
    </row>
    <row r="106" spans="1:15" ht="30" x14ac:dyDescent="0.25">
      <c r="A106" s="397" t="s">
        <v>27</v>
      </c>
      <c r="B106" s="106" t="s">
        <v>192</v>
      </c>
      <c r="C106" s="106" t="s">
        <v>15</v>
      </c>
      <c r="D106" s="106" t="s">
        <v>84</v>
      </c>
      <c r="E106" s="106" t="s">
        <v>35</v>
      </c>
      <c r="F106" s="107" t="s">
        <v>28</v>
      </c>
      <c r="G106" s="99"/>
      <c r="H106" s="388"/>
      <c r="I106" s="99"/>
      <c r="J106" s="77"/>
      <c r="K106" s="77"/>
      <c r="L106" s="77"/>
      <c r="M106" s="77"/>
      <c r="N106" s="77"/>
      <c r="O106" s="77"/>
    </row>
    <row r="107" spans="1:15" ht="30" x14ac:dyDescent="0.25">
      <c r="A107" s="397" t="s">
        <v>125</v>
      </c>
      <c r="B107" s="106" t="s">
        <v>191</v>
      </c>
      <c r="C107" s="106" t="s">
        <v>16</v>
      </c>
      <c r="D107" s="106"/>
      <c r="E107" s="106" t="s">
        <v>46</v>
      </c>
      <c r="F107" s="107" t="s">
        <v>34</v>
      </c>
      <c r="G107" s="99"/>
      <c r="H107" s="388"/>
      <c r="I107" s="99"/>
      <c r="J107" s="77"/>
      <c r="K107" s="77"/>
      <c r="L107" s="77"/>
      <c r="M107" s="77"/>
      <c r="N107" s="77"/>
      <c r="O107" s="77"/>
    </row>
    <row r="108" spans="1:15" ht="15" x14ac:dyDescent="0.25">
      <c r="A108" s="396" t="s">
        <v>128</v>
      </c>
      <c r="B108" s="106" t="s">
        <v>193</v>
      </c>
      <c r="C108" s="106" t="s">
        <v>20</v>
      </c>
      <c r="D108" s="106"/>
      <c r="E108" s="106" t="s">
        <v>44</v>
      </c>
      <c r="F108" s="107" t="s">
        <v>142</v>
      </c>
      <c r="G108" s="99"/>
      <c r="H108" s="388"/>
      <c r="I108" s="99"/>
      <c r="J108" s="77"/>
      <c r="K108" s="77"/>
      <c r="L108" s="77"/>
      <c r="M108" s="77"/>
      <c r="N108" s="77"/>
      <c r="O108" s="77"/>
    </row>
    <row r="109" spans="1:15" ht="15" x14ac:dyDescent="0.25">
      <c r="A109" s="397" t="s">
        <v>326</v>
      </c>
      <c r="B109" s="106"/>
      <c r="C109" s="106" t="s">
        <v>19</v>
      </c>
      <c r="D109" s="106"/>
      <c r="E109" s="106" t="s">
        <v>37</v>
      </c>
      <c r="F109" s="107" t="s">
        <v>30</v>
      </c>
      <c r="G109" s="99"/>
      <c r="H109" s="388"/>
      <c r="I109" s="99"/>
      <c r="J109" s="77"/>
      <c r="K109" s="77"/>
      <c r="L109" s="77"/>
      <c r="M109" s="77"/>
      <c r="N109" s="77"/>
      <c r="O109" s="77"/>
    </row>
    <row r="110" spans="1:15" ht="30" x14ac:dyDescent="0.25">
      <c r="A110" s="396" t="s">
        <v>308</v>
      </c>
      <c r="B110" s="106"/>
      <c r="C110" s="106" t="s">
        <v>21</v>
      </c>
      <c r="D110" s="106"/>
      <c r="E110" s="106" t="s">
        <v>117</v>
      </c>
      <c r="F110" s="107" t="s">
        <v>121</v>
      </c>
      <c r="G110" s="99"/>
      <c r="H110" s="388"/>
      <c r="I110" s="99"/>
      <c r="J110" s="77"/>
      <c r="K110" s="77"/>
      <c r="L110" s="77"/>
      <c r="M110" s="77"/>
      <c r="N110" s="77"/>
      <c r="O110" s="77"/>
    </row>
    <row r="111" spans="1:15" ht="30" x14ac:dyDescent="0.25">
      <c r="A111" s="396" t="s">
        <v>309</v>
      </c>
      <c r="B111" s="106"/>
      <c r="C111" s="106" t="s">
        <v>14</v>
      </c>
      <c r="D111" s="106"/>
      <c r="E111" s="106" t="s">
        <v>42</v>
      </c>
      <c r="F111" s="107" t="s">
        <v>40</v>
      </c>
      <c r="G111" s="99"/>
      <c r="H111" s="388"/>
      <c r="I111" s="99"/>
      <c r="J111" s="77"/>
      <c r="K111" s="77"/>
      <c r="L111" s="77"/>
      <c r="M111" s="77"/>
      <c r="N111" s="77"/>
      <c r="O111" s="77"/>
    </row>
    <row r="112" spans="1:15" ht="30" x14ac:dyDescent="0.25">
      <c r="A112" s="396" t="s">
        <v>307</v>
      </c>
      <c r="B112" s="106"/>
      <c r="C112" s="106" t="s">
        <v>17</v>
      </c>
      <c r="D112" s="106"/>
      <c r="E112" s="106" t="s">
        <v>38</v>
      </c>
      <c r="F112" s="107" t="s">
        <v>31</v>
      </c>
      <c r="G112" s="99"/>
      <c r="H112" s="388"/>
      <c r="I112" s="99"/>
      <c r="J112" s="77"/>
      <c r="K112" s="77"/>
      <c r="L112" s="77"/>
      <c r="M112" s="77"/>
      <c r="N112" s="77"/>
      <c r="O112" s="77"/>
    </row>
    <row r="113" spans="1:15" ht="15" x14ac:dyDescent="0.25">
      <c r="A113" s="397" t="s">
        <v>4</v>
      </c>
      <c r="B113" s="106"/>
      <c r="C113" s="106"/>
      <c r="D113" s="106"/>
      <c r="E113" s="106" t="s">
        <v>41</v>
      </c>
      <c r="F113" s="107" t="s">
        <v>39</v>
      </c>
      <c r="G113" s="99"/>
      <c r="H113" s="388"/>
      <c r="I113" s="99"/>
      <c r="J113" s="77"/>
      <c r="K113" s="77"/>
      <c r="L113" s="77"/>
      <c r="M113" s="77"/>
      <c r="N113" s="77"/>
      <c r="O113" s="77"/>
    </row>
    <row r="114" spans="1:15" ht="15" x14ac:dyDescent="0.25">
      <c r="A114" s="397" t="s">
        <v>126</v>
      </c>
      <c r="B114" s="106"/>
      <c r="C114" s="106"/>
      <c r="D114" s="106"/>
      <c r="E114" s="106" t="s">
        <v>43</v>
      </c>
      <c r="F114" s="107" t="s">
        <v>120</v>
      </c>
      <c r="G114" s="99"/>
      <c r="H114" s="388"/>
      <c r="I114" s="99"/>
      <c r="J114" s="77"/>
      <c r="K114" s="77"/>
      <c r="L114" s="77"/>
      <c r="M114" s="77"/>
      <c r="N114" s="77"/>
      <c r="O114" s="77"/>
    </row>
    <row r="115" spans="1:15" x14ac:dyDescent="0.25">
      <c r="A115" s="2" t="s">
        <v>238</v>
      </c>
      <c r="B115" s="2"/>
      <c r="C115" s="2"/>
      <c r="D115" s="2"/>
      <c r="E115" s="2" t="s">
        <v>118</v>
      </c>
      <c r="F115" s="2" t="s">
        <v>122</v>
      </c>
      <c r="G115" s="2"/>
      <c r="H115" s="3"/>
      <c r="I115" s="2"/>
    </row>
    <row r="116" spans="1:15" x14ac:dyDescent="0.25">
      <c r="A116" s="2" t="s">
        <v>183</v>
      </c>
      <c r="B116" s="2"/>
      <c r="C116" s="2"/>
      <c r="D116" s="2"/>
      <c r="E116" s="2" t="s">
        <v>45</v>
      </c>
      <c r="F116" s="2" t="s">
        <v>32</v>
      </c>
      <c r="G116" s="2"/>
      <c r="H116" s="3"/>
      <c r="I116" s="2"/>
    </row>
    <row r="117" spans="1:15" ht="15" x14ac:dyDescent="0.25">
      <c r="A117" s="2"/>
      <c r="B117" s="2"/>
      <c r="C117" s="2"/>
      <c r="D117" s="2"/>
      <c r="E117" s="106" t="s">
        <v>142</v>
      </c>
      <c r="F117" s="2"/>
      <c r="G117" s="2"/>
      <c r="H117" s="3"/>
      <c r="I117" s="2"/>
    </row>
    <row r="118" spans="1:15" x14ac:dyDescent="0.25">
      <c r="A118" s="2"/>
      <c r="B118" s="2"/>
      <c r="C118" s="2"/>
      <c r="D118" s="2"/>
      <c r="E118" s="2"/>
      <c r="F118" s="2"/>
      <c r="G118" s="2"/>
      <c r="H118" s="3"/>
      <c r="I118" s="2"/>
    </row>
    <row r="119" spans="1:15" x14ac:dyDescent="0.25">
      <c r="A119" s="2"/>
      <c r="B119" s="2"/>
      <c r="C119" s="2"/>
      <c r="D119" s="2"/>
      <c r="E119" s="2"/>
      <c r="F119" s="2"/>
      <c r="G119" s="2"/>
      <c r="H119" s="3"/>
      <c r="I119" s="2"/>
    </row>
    <row r="120" spans="1:15" x14ac:dyDescent="0.25">
      <c r="A120" s="2"/>
      <c r="B120" s="2"/>
      <c r="C120" s="2"/>
      <c r="D120" s="2"/>
      <c r="E120" s="2"/>
      <c r="F120" s="2"/>
      <c r="G120" s="2"/>
      <c r="H120" s="3"/>
      <c r="I120" s="2"/>
    </row>
    <row r="121" spans="1:15" x14ac:dyDescent="0.25">
      <c r="A121" s="2"/>
      <c r="B121" s="2"/>
      <c r="C121" s="2"/>
      <c r="D121" s="2"/>
      <c r="E121" s="2"/>
      <c r="F121" s="2"/>
      <c r="G121" s="2"/>
      <c r="H121" s="3"/>
      <c r="I121" s="2"/>
    </row>
    <row r="122" spans="1:15" x14ac:dyDescent="0.25">
      <c r="A122" s="2"/>
      <c r="B122" s="2"/>
      <c r="C122" s="2"/>
      <c r="D122" s="2"/>
      <c r="E122" s="2"/>
      <c r="F122" s="2"/>
      <c r="G122" s="2"/>
      <c r="H122" s="3"/>
      <c r="I122" s="2"/>
    </row>
    <row r="123" spans="1:15" x14ac:dyDescent="0.25">
      <c r="A123" s="2"/>
      <c r="B123" s="2"/>
      <c r="C123" s="2"/>
      <c r="D123" s="2"/>
      <c r="E123" s="2"/>
      <c r="F123" s="2"/>
      <c r="G123" s="2"/>
      <c r="H123" s="3"/>
      <c r="I123" s="2"/>
    </row>
    <row r="124" spans="1:15" x14ac:dyDescent="0.25">
      <c r="A124" s="2"/>
      <c r="B124" s="2"/>
      <c r="C124" s="2"/>
      <c r="D124" s="2"/>
      <c r="E124" s="2"/>
      <c r="F124" s="2"/>
      <c r="G124" s="2"/>
      <c r="H124" s="3"/>
      <c r="I124" s="2"/>
    </row>
    <row r="125" spans="1:15" x14ac:dyDescent="0.25">
      <c r="A125" s="2"/>
      <c r="B125" s="2"/>
      <c r="C125" s="2"/>
      <c r="D125" s="2"/>
      <c r="E125" s="2"/>
      <c r="F125" s="2"/>
      <c r="G125" s="2"/>
      <c r="H125" s="3"/>
      <c r="I125" s="2"/>
    </row>
    <row r="126" spans="1:15" x14ac:dyDescent="0.25">
      <c r="A126" s="2"/>
      <c r="B126" s="2"/>
      <c r="C126" s="2"/>
      <c r="D126" s="2"/>
      <c r="E126" s="2"/>
      <c r="F126" s="2"/>
      <c r="G126" s="2"/>
      <c r="H126" s="3"/>
      <c r="I126" s="2"/>
    </row>
    <row r="127" spans="1:15" x14ac:dyDescent="0.25">
      <c r="A127" s="2"/>
      <c r="B127" s="2"/>
      <c r="C127" s="2"/>
      <c r="D127" s="2"/>
      <c r="E127" s="2"/>
      <c r="F127" s="2"/>
      <c r="G127" s="2"/>
      <c r="H127" s="3"/>
      <c r="I127" s="2"/>
    </row>
    <row r="128" spans="1:15" x14ac:dyDescent="0.25">
      <c r="A128" s="2"/>
      <c r="B128" s="2"/>
      <c r="C128" s="2"/>
      <c r="D128" s="2"/>
      <c r="E128" s="2"/>
      <c r="F128" s="2"/>
      <c r="G128" s="2"/>
      <c r="H128" s="3"/>
      <c r="I128" s="2"/>
    </row>
    <row r="129" spans="1:9" x14ac:dyDescent="0.25">
      <c r="A129" s="2"/>
      <c r="B129" s="2"/>
      <c r="C129" s="2"/>
      <c r="D129" s="2"/>
      <c r="E129" s="2"/>
      <c r="F129" s="2"/>
      <c r="G129" s="2"/>
      <c r="H129" s="3"/>
      <c r="I129" s="2"/>
    </row>
  </sheetData>
  <mergeCells count="7">
    <mergeCell ref="A101:F102"/>
    <mergeCell ref="A1:O1"/>
    <mergeCell ref="A3:O3"/>
    <mergeCell ref="A11:O11"/>
    <mergeCell ref="A35:O35"/>
    <mergeCell ref="A47:O47"/>
    <mergeCell ref="A48:F48"/>
  </mergeCells>
  <dataValidations count="7">
    <dataValidation type="list" allowBlank="1" showInputMessage="1" showErrorMessage="1" sqref="E40 C39:D46" xr:uid="{00000000-0002-0000-1400-000000000000}">
      <formula1>#REF!</formula1>
    </dataValidation>
    <dataValidation type="list" allowBlank="1" showInputMessage="1" showErrorMessage="1" sqref="C22:D31 C14:D18 C37:D37 C5:D10" xr:uid="{00000000-0002-0000-1400-000001000000}">
      <formula1>$A$110:$A$122</formula1>
    </dataValidation>
    <dataValidation type="list" allowBlank="1" showInputMessage="1" showErrorMessage="1" sqref="E5:E10 E22:E31 E37 E14:E18" xr:uid="{00000000-0002-0000-1400-000002000000}">
      <formula1>$F$110:$F$124</formula1>
    </dataValidation>
    <dataValidation type="list" allowBlank="1" showInputMessage="1" showErrorMessage="1" sqref="B5:B10 B22:B31 B14:B18 B37" xr:uid="{00000000-0002-0000-1400-000003000000}">
      <formula1>$B$110:$B$114</formula1>
    </dataValidation>
    <dataValidation type="list" allowBlank="1" showInputMessage="1" showErrorMessage="1" sqref="A5:A10 A37 A14:A18 A22:A31" xr:uid="{00000000-0002-0000-1400-000004000000}">
      <formula1>$D$110:$D$112</formula1>
    </dataValidation>
    <dataValidation type="list" allowBlank="1" showInputMessage="1" showErrorMessage="1" sqref="G5:G10 G14:G18 G37 G22:G31" xr:uid="{00000000-0002-0000-1400-000005000000}">
      <formula1>$C$110:$C$118</formula1>
    </dataValidation>
    <dataValidation type="list" allowBlank="1" showInputMessage="1" showErrorMessage="1" sqref="F5:F10 F14:F18 F37 F22:F31" xr:uid="{00000000-0002-0000-1400-000006000000}">
      <formula1>$E$110:$E$124</formula1>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0">
    <tabColor rgb="FFFF0000"/>
  </sheetPr>
  <dimension ref="A1:EA129"/>
  <sheetViews>
    <sheetView zoomScale="70" zoomScaleNormal="70" workbookViewId="0">
      <selection activeCell="K6" sqref="K6"/>
    </sheetView>
  </sheetViews>
  <sheetFormatPr defaultColWidth="8.77734375" defaultRowHeight="13.2" x14ac:dyDescent="0.25"/>
  <cols>
    <col min="1" max="15" width="26.44140625" customWidth="1"/>
  </cols>
  <sheetData>
    <row r="1" spans="1:131" ht="18" thickBot="1" x14ac:dyDescent="0.3">
      <c r="A1" s="900" t="s">
        <v>310</v>
      </c>
      <c r="B1" s="900"/>
      <c r="C1" s="900"/>
      <c r="D1" s="900"/>
      <c r="E1" s="900"/>
      <c r="F1" s="900"/>
      <c r="G1" s="900"/>
      <c r="H1" s="900"/>
      <c r="I1" s="900"/>
      <c r="J1" s="900"/>
      <c r="K1" s="900"/>
      <c r="L1" s="900"/>
      <c r="M1" s="900"/>
      <c r="N1" s="900"/>
      <c r="O1" s="900"/>
    </row>
    <row r="2" spans="1:131" ht="17.399999999999999" x14ac:dyDescent="0.25">
      <c r="A2" s="495" t="s">
        <v>188</v>
      </c>
      <c r="B2" s="175"/>
      <c r="C2" s="495"/>
      <c r="D2" s="495"/>
      <c r="E2" s="495"/>
      <c r="F2" s="495"/>
      <c r="G2" s="495"/>
      <c r="H2" s="381"/>
      <c r="I2" s="495"/>
      <c r="J2" s="399"/>
      <c r="K2" s="399"/>
      <c r="L2" s="399"/>
      <c r="M2" s="399"/>
      <c r="N2" s="399"/>
      <c r="O2" s="399"/>
    </row>
    <row r="3" spans="1:131" ht="15" x14ac:dyDescent="0.25">
      <c r="A3" s="901" t="s">
        <v>204</v>
      </c>
      <c r="B3" s="902"/>
      <c r="C3" s="902"/>
      <c r="D3" s="902"/>
      <c r="E3" s="902"/>
      <c r="F3" s="902"/>
      <c r="G3" s="902"/>
      <c r="H3" s="902"/>
      <c r="I3" s="902"/>
      <c r="J3" s="902"/>
      <c r="K3" s="902"/>
      <c r="L3" s="902"/>
      <c r="M3" s="902"/>
      <c r="N3" s="902"/>
      <c r="O3" s="903"/>
    </row>
    <row r="4" spans="1:131" ht="60" x14ac:dyDescent="0.25">
      <c r="A4" s="176" t="s">
        <v>89</v>
      </c>
      <c r="B4" s="176" t="s">
        <v>90</v>
      </c>
      <c r="C4" s="177" t="s">
        <v>0</v>
      </c>
      <c r="D4" s="177" t="s">
        <v>124</v>
      </c>
      <c r="E4" s="176" t="s">
        <v>143</v>
      </c>
      <c r="F4" s="176" t="s">
        <v>144</v>
      </c>
      <c r="G4" s="176" t="s">
        <v>13</v>
      </c>
      <c r="H4" s="382" t="s">
        <v>88</v>
      </c>
      <c r="I4" s="176" t="s">
        <v>12</v>
      </c>
      <c r="J4" s="400" t="s">
        <v>158</v>
      </c>
      <c r="K4" s="400" t="s">
        <v>148</v>
      </c>
      <c r="L4" s="400" t="s">
        <v>180</v>
      </c>
      <c r="M4" s="400" t="s">
        <v>104</v>
      </c>
      <c r="N4" s="400" t="s">
        <v>179</v>
      </c>
      <c r="O4" s="400" t="s">
        <v>205</v>
      </c>
    </row>
    <row r="5" spans="1:131" ht="30" x14ac:dyDescent="0.25">
      <c r="A5" s="482" t="s">
        <v>84</v>
      </c>
      <c r="B5" s="482" t="s">
        <v>3</v>
      </c>
      <c r="C5" s="482" t="s">
        <v>307</v>
      </c>
      <c r="D5" s="482" t="s">
        <v>307</v>
      </c>
      <c r="E5" s="327" t="s">
        <v>120</v>
      </c>
      <c r="F5" s="457" t="s">
        <v>44</v>
      </c>
      <c r="G5" s="482" t="s">
        <v>14</v>
      </c>
      <c r="H5" s="483">
        <v>44423</v>
      </c>
      <c r="I5" s="482" t="s">
        <v>23</v>
      </c>
      <c r="J5" s="350">
        <v>143.66999999999999</v>
      </c>
      <c r="K5" s="350">
        <f>'Apr13'!K5</f>
        <v>118.16</v>
      </c>
      <c r="L5" s="496">
        <f t="shared" ref="L5:L8" si="0">N5-M5</f>
        <v>15.109086700000001</v>
      </c>
      <c r="M5" s="350">
        <f t="shared" ref="M5:N8" si="1">-DZ5/1000000</f>
        <v>1.2597888000000002</v>
      </c>
      <c r="N5" s="350">
        <f t="shared" si="1"/>
        <v>16.368875500000001</v>
      </c>
      <c r="O5" s="88"/>
      <c r="DZ5">
        <v>-1259788.8</v>
      </c>
      <c r="EA5">
        <v>-16368875.5</v>
      </c>
    </row>
    <row r="6" spans="1:131" ht="30" x14ac:dyDescent="0.25">
      <c r="A6" s="485" t="s">
        <v>84</v>
      </c>
      <c r="B6" s="485" t="s">
        <v>3</v>
      </c>
      <c r="C6" s="485" t="s">
        <v>307</v>
      </c>
      <c r="D6" s="485" t="s">
        <v>307</v>
      </c>
      <c r="E6" s="329" t="s">
        <v>120</v>
      </c>
      <c r="F6" s="458" t="s">
        <v>44</v>
      </c>
      <c r="G6" s="485" t="s">
        <v>14</v>
      </c>
      <c r="H6" s="93">
        <v>44576</v>
      </c>
      <c r="I6" s="485" t="s">
        <v>24</v>
      </c>
      <c r="J6" s="351">
        <v>27.4</v>
      </c>
      <c r="K6" s="351">
        <f>'Apr13'!K6</f>
        <v>25.83</v>
      </c>
      <c r="L6" s="497">
        <f t="shared" si="0"/>
        <v>3.9121833099999996</v>
      </c>
      <c r="M6" s="351">
        <f t="shared" si="1"/>
        <v>8.5098460000000001E-2</v>
      </c>
      <c r="N6" s="351">
        <f t="shared" si="1"/>
        <v>3.9972817699999998</v>
      </c>
      <c r="O6" s="96"/>
      <c r="DZ6">
        <v>-85098.46</v>
      </c>
      <c r="EA6">
        <v>-3997281.77</v>
      </c>
    </row>
    <row r="7" spans="1:131" ht="30" x14ac:dyDescent="0.25">
      <c r="A7" s="482" t="s">
        <v>84</v>
      </c>
      <c r="B7" s="482" t="s">
        <v>3</v>
      </c>
      <c r="C7" s="482" t="s">
        <v>308</v>
      </c>
      <c r="D7" s="482" t="s">
        <v>308</v>
      </c>
      <c r="E7" s="327" t="s">
        <v>39</v>
      </c>
      <c r="F7" s="457" t="s">
        <v>38</v>
      </c>
      <c r="G7" s="482" t="s">
        <v>14</v>
      </c>
      <c r="H7" s="483">
        <v>44576</v>
      </c>
      <c r="I7" s="482" t="s">
        <v>24</v>
      </c>
      <c r="J7" s="350">
        <v>26.85</v>
      </c>
      <c r="K7" s="350">
        <f>'Apr13'!K7</f>
        <v>25.38</v>
      </c>
      <c r="L7" s="496">
        <f t="shared" si="0"/>
        <v>3.8353535600000002</v>
      </c>
      <c r="M7" s="350">
        <f t="shared" si="1"/>
        <v>8.3599439999999997E-2</v>
      </c>
      <c r="N7" s="350">
        <f t="shared" si="1"/>
        <v>3.9189530000000001</v>
      </c>
      <c r="O7" s="88"/>
      <c r="DZ7">
        <v>-83599.44</v>
      </c>
      <c r="EA7">
        <v>-3918953</v>
      </c>
    </row>
    <row r="8" spans="1:131" ht="30" x14ac:dyDescent="0.25">
      <c r="A8" s="485" t="s">
        <v>84</v>
      </c>
      <c r="B8" s="485" t="s">
        <v>3</v>
      </c>
      <c r="C8" s="485" t="s">
        <v>309</v>
      </c>
      <c r="D8" s="485" t="s">
        <v>125</v>
      </c>
      <c r="E8" s="329" t="s">
        <v>39</v>
      </c>
      <c r="F8" s="458" t="s">
        <v>42</v>
      </c>
      <c r="G8" s="485" t="s">
        <v>14</v>
      </c>
      <c r="H8" s="93">
        <v>46296</v>
      </c>
      <c r="I8" s="485" t="s">
        <v>25</v>
      </c>
      <c r="J8" s="351">
        <v>40.880000000000003</v>
      </c>
      <c r="K8" s="351">
        <f>'Apr13'!K8</f>
        <v>37.659999999999997</v>
      </c>
      <c r="L8" s="497">
        <f t="shared" si="0"/>
        <v>5.5474622999999994</v>
      </c>
      <c r="M8" s="351">
        <f t="shared" si="1"/>
        <v>8.5435589999999992E-2</v>
      </c>
      <c r="N8" s="351">
        <f t="shared" si="1"/>
        <v>5.6328978899999997</v>
      </c>
      <c r="O8" s="96"/>
      <c r="DZ8">
        <v>-85435.59</v>
      </c>
      <c r="EA8">
        <v>-5632897.8899999997</v>
      </c>
    </row>
    <row r="9" spans="1:131" ht="15" x14ac:dyDescent="0.25">
      <c r="A9" s="111"/>
      <c r="B9" s="111"/>
      <c r="C9" s="111"/>
      <c r="D9" s="111"/>
      <c r="E9" s="123"/>
      <c r="F9" s="111"/>
      <c r="G9" s="111"/>
      <c r="H9" s="114"/>
      <c r="I9" s="111"/>
      <c r="J9" s="352"/>
      <c r="K9" s="352"/>
      <c r="L9" s="352"/>
      <c r="M9" s="352"/>
      <c r="N9" s="353"/>
      <c r="O9" s="353"/>
    </row>
    <row r="10" spans="1:131" ht="15" x14ac:dyDescent="0.25">
      <c r="A10" s="485"/>
      <c r="B10" s="485"/>
      <c r="C10" s="485"/>
      <c r="D10" s="485"/>
      <c r="E10" s="329"/>
      <c r="F10" s="485"/>
      <c r="G10" s="485"/>
      <c r="H10" s="93"/>
      <c r="I10" s="485"/>
      <c r="J10" s="351"/>
      <c r="K10" s="351"/>
      <c r="L10" s="351"/>
      <c r="M10" s="351"/>
      <c r="N10" s="96"/>
      <c r="O10" s="96"/>
    </row>
    <row r="11" spans="1:131" ht="15" x14ac:dyDescent="0.25">
      <c r="A11" s="901" t="s">
        <v>203</v>
      </c>
      <c r="B11" s="902"/>
      <c r="C11" s="902"/>
      <c r="D11" s="902"/>
      <c r="E11" s="902"/>
      <c r="F11" s="902"/>
      <c r="G11" s="902"/>
      <c r="H11" s="902"/>
      <c r="I11" s="902"/>
      <c r="J11" s="902"/>
      <c r="K11" s="902"/>
      <c r="L11" s="902"/>
      <c r="M11" s="902"/>
      <c r="N11" s="902"/>
      <c r="O11" s="903"/>
    </row>
    <row r="12" spans="1:131" ht="60" x14ac:dyDescent="0.25">
      <c r="A12" s="176" t="s">
        <v>89</v>
      </c>
      <c r="B12" s="176" t="s">
        <v>90</v>
      </c>
      <c r="C12" s="177" t="s">
        <v>0</v>
      </c>
      <c r="D12" s="180" t="s">
        <v>124</v>
      </c>
      <c r="E12" s="176" t="s">
        <v>143</v>
      </c>
      <c r="F12" s="176" t="s">
        <v>144</v>
      </c>
      <c r="G12" s="176" t="s">
        <v>13</v>
      </c>
      <c r="H12" s="382" t="s">
        <v>88</v>
      </c>
      <c r="I12" s="176" t="s">
        <v>12</v>
      </c>
      <c r="J12" s="400" t="s">
        <v>150</v>
      </c>
      <c r="K12" s="400" t="s">
        <v>151</v>
      </c>
      <c r="L12" s="400" t="s">
        <v>157</v>
      </c>
      <c r="M12" s="400" t="s">
        <v>149</v>
      </c>
      <c r="N12" s="400" t="s">
        <v>179</v>
      </c>
      <c r="O12" s="400" t="s">
        <v>205</v>
      </c>
    </row>
    <row r="13" spans="1:131" ht="15" x14ac:dyDescent="0.25">
      <c r="A13" s="184" t="s">
        <v>197</v>
      </c>
      <c r="B13" s="184"/>
      <c r="C13" s="185"/>
      <c r="D13" s="185"/>
      <c r="E13" s="184"/>
      <c r="F13" s="184"/>
      <c r="G13" s="184"/>
      <c r="H13" s="383"/>
      <c r="I13" s="184"/>
      <c r="J13" s="403"/>
      <c r="K13" s="403"/>
      <c r="L13" s="403"/>
      <c r="M13" s="403"/>
      <c r="N13" s="403"/>
      <c r="O13" s="404"/>
    </row>
    <row r="14" spans="1:131" ht="30" x14ac:dyDescent="0.25">
      <c r="A14" s="482" t="s">
        <v>8</v>
      </c>
      <c r="B14" s="485" t="s">
        <v>7</v>
      </c>
      <c r="C14" s="482" t="s">
        <v>239</v>
      </c>
      <c r="D14" s="482" t="s">
        <v>238</v>
      </c>
      <c r="E14" s="327" t="s">
        <v>32</v>
      </c>
      <c r="F14" s="327" t="s">
        <v>45</v>
      </c>
      <c r="G14" s="482" t="s">
        <v>22</v>
      </c>
      <c r="H14" s="483">
        <v>41455</v>
      </c>
      <c r="I14" s="482" t="s">
        <v>131</v>
      </c>
      <c r="J14" s="88">
        <v>26.77</v>
      </c>
      <c r="K14" s="88">
        <v>-25.59</v>
      </c>
      <c r="L14" s="488">
        <v>1.1799999999999997</v>
      </c>
      <c r="M14" s="88"/>
      <c r="N14" s="88"/>
      <c r="O14" s="88"/>
    </row>
    <row r="15" spans="1:131" ht="30" x14ac:dyDescent="0.25">
      <c r="A15" s="485" t="s">
        <v>8</v>
      </c>
      <c r="B15" s="485" t="s">
        <v>193</v>
      </c>
      <c r="C15" s="485" t="s">
        <v>239</v>
      </c>
      <c r="D15" s="485" t="s">
        <v>238</v>
      </c>
      <c r="E15" s="485" t="s">
        <v>32</v>
      </c>
      <c r="F15" s="485" t="s">
        <v>45</v>
      </c>
      <c r="G15" s="485" t="s">
        <v>22</v>
      </c>
      <c r="H15" s="385">
        <v>41820</v>
      </c>
      <c r="I15" s="485" t="s">
        <v>132</v>
      </c>
      <c r="J15" s="379">
        <v>17.88</v>
      </c>
      <c r="K15" s="379"/>
      <c r="L15" s="489">
        <v>17.88</v>
      </c>
      <c r="M15" s="379"/>
      <c r="N15" s="379"/>
      <c r="O15" s="379"/>
    </row>
    <row r="16" spans="1:131" ht="30" x14ac:dyDescent="0.25">
      <c r="A16" s="482" t="s">
        <v>8</v>
      </c>
      <c r="B16" s="482" t="s">
        <v>193</v>
      </c>
      <c r="C16" s="482" t="s">
        <v>239</v>
      </c>
      <c r="D16" s="482" t="s">
        <v>238</v>
      </c>
      <c r="E16" s="482" t="s">
        <v>32</v>
      </c>
      <c r="F16" s="482" t="s">
        <v>45</v>
      </c>
      <c r="G16" s="482" t="s">
        <v>22</v>
      </c>
      <c r="H16" s="386">
        <v>42185</v>
      </c>
      <c r="I16" s="482" t="s">
        <v>133</v>
      </c>
      <c r="J16" s="380">
        <v>13.56</v>
      </c>
      <c r="K16" s="380"/>
      <c r="L16" s="488">
        <v>13.56</v>
      </c>
      <c r="M16" s="380"/>
      <c r="N16" s="380"/>
      <c r="O16" s="380"/>
    </row>
    <row r="17" spans="1:15" ht="30" x14ac:dyDescent="0.25">
      <c r="A17" s="485" t="s">
        <v>8</v>
      </c>
      <c r="B17" s="485" t="s">
        <v>193</v>
      </c>
      <c r="C17" s="485" t="s">
        <v>239</v>
      </c>
      <c r="D17" s="485" t="s">
        <v>238</v>
      </c>
      <c r="E17" s="485" t="s">
        <v>32</v>
      </c>
      <c r="F17" s="485" t="s">
        <v>45</v>
      </c>
      <c r="G17" s="485" t="s">
        <v>22</v>
      </c>
      <c r="H17" s="385">
        <v>42551</v>
      </c>
      <c r="I17" s="485" t="s">
        <v>300</v>
      </c>
      <c r="J17" s="379">
        <v>1.1100000000000001</v>
      </c>
      <c r="K17" s="379"/>
      <c r="L17" s="490">
        <v>1.1100000000000001</v>
      </c>
      <c r="M17" s="379"/>
      <c r="N17" s="379"/>
      <c r="O17" s="379"/>
    </row>
    <row r="18" spans="1:15" ht="15" x14ac:dyDescent="0.25">
      <c r="A18" s="181"/>
      <c r="B18" s="181"/>
      <c r="C18" s="181"/>
      <c r="D18" s="181"/>
      <c r="E18" s="182"/>
      <c r="F18" s="181"/>
      <c r="G18" s="181"/>
      <c r="H18" s="183" t="s">
        <v>206</v>
      </c>
      <c r="I18" s="181"/>
      <c r="J18" s="354">
        <v>59.32</v>
      </c>
      <c r="K18" s="354">
        <v>-25.59</v>
      </c>
      <c r="L18" s="354">
        <v>33.729999999999997</v>
      </c>
      <c r="M18" s="354">
        <v>32.256951999999998</v>
      </c>
      <c r="N18" s="354">
        <v>1.4730479999999999</v>
      </c>
      <c r="O18" s="354">
        <v>35</v>
      </c>
    </row>
    <row r="19" spans="1:15" ht="15" x14ac:dyDescent="0.25">
      <c r="A19" s="181" t="s">
        <v>295</v>
      </c>
      <c r="B19" s="181"/>
      <c r="C19" s="181"/>
      <c r="D19" s="181"/>
      <c r="E19" s="182"/>
      <c r="F19" s="181"/>
      <c r="G19" s="181"/>
      <c r="H19" s="183"/>
      <c r="I19" s="181"/>
      <c r="J19" s="354"/>
      <c r="K19" s="354"/>
      <c r="L19" s="354"/>
      <c r="M19" s="354"/>
      <c r="N19" s="354"/>
      <c r="O19" s="354"/>
    </row>
    <row r="20" spans="1:15" ht="15" x14ac:dyDescent="0.25">
      <c r="A20" s="184" t="s">
        <v>327</v>
      </c>
      <c r="B20" s="184"/>
      <c r="C20" s="185"/>
      <c r="D20" s="185"/>
      <c r="E20" s="184"/>
      <c r="F20" s="184"/>
      <c r="G20" s="184"/>
      <c r="H20" s="383"/>
      <c r="I20" s="184"/>
      <c r="J20" s="459"/>
      <c r="K20" s="459"/>
      <c r="L20" s="459"/>
      <c r="M20" s="459"/>
      <c r="N20" s="459"/>
      <c r="O20" s="186"/>
    </row>
    <row r="21" spans="1:15" ht="30" x14ac:dyDescent="0.25">
      <c r="A21" s="482" t="s">
        <v>8</v>
      </c>
      <c r="B21" s="482" t="s">
        <v>7</v>
      </c>
      <c r="C21" s="482" t="s">
        <v>27</v>
      </c>
      <c r="D21" s="482" t="s">
        <v>127</v>
      </c>
      <c r="E21" s="327" t="s">
        <v>33</v>
      </c>
      <c r="F21" s="327" t="s">
        <v>45</v>
      </c>
      <c r="G21" s="482" t="s">
        <v>22</v>
      </c>
      <c r="H21" s="483">
        <v>41455</v>
      </c>
      <c r="I21" s="482" t="s">
        <v>137</v>
      </c>
      <c r="J21" s="88">
        <v>5.2490547599999999</v>
      </c>
      <c r="K21" s="88">
        <v>-4.6095687600000002</v>
      </c>
      <c r="L21" s="488">
        <v>0.63948599999999978</v>
      </c>
      <c r="M21" s="486"/>
      <c r="N21" s="486"/>
      <c r="O21" s="486"/>
    </row>
    <row r="22" spans="1:15" ht="30" x14ac:dyDescent="0.25">
      <c r="A22" s="482" t="s">
        <v>84</v>
      </c>
      <c r="B22" s="485" t="s">
        <v>7</v>
      </c>
      <c r="C22" s="485" t="s">
        <v>27</v>
      </c>
      <c r="D22" s="485" t="s">
        <v>127</v>
      </c>
      <c r="E22" s="485" t="s">
        <v>33</v>
      </c>
      <c r="F22" s="485" t="s">
        <v>45</v>
      </c>
      <c r="G22" s="485" t="s">
        <v>22</v>
      </c>
      <c r="H22" s="385">
        <v>41820</v>
      </c>
      <c r="I22" s="485" t="s">
        <v>138</v>
      </c>
      <c r="J22" s="379">
        <v>0.92112859999999996</v>
      </c>
      <c r="K22" s="379">
        <v>0</v>
      </c>
      <c r="L22" s="489">
        <v>0.92112859999999996</v>
      </c>
      <c r="M22" s="484"/>
      <c r="N22" s="484"/>
      <c r="O22" s="484"/>
    </row>
    <row r="23" spans="1:15" ht="30" x14ac:dyDescent="0.25">
      <c r="A23" s="482" t="s">
        <v>8</v>
      </c>
      <c r="B23" s="482" t="s">
        <v>7</v>
      </c>
      <c r="C23" s="482" t="s">
        <v>27</v>
      </c>
      <c r="D23" s="482" t="s">
        <v>127</v>
      </c>
      <c r="E23" s="482" t="s">
        <v>33</v>
      </c>
      <c r="F23" s="482" t="s">
        <v>45</v>
      </c>
      <c r="G23" s="482" t="s">
        <v>22</v>
      </c>
      <c r="H23" s="386">
        <v>42185</v>
      </c>
      <c r="I23" s="482" t="s">
        <v>139</v>
      </c>
      <c r="J23" s="380"/>
      <c r="K23" s="380">
        <v>0</v>
      </c>
      <c r="L23" s="488">
        <v>0</v>
      </c>
      <c r="M23" s="487"/>
      <c r="N23" s="487"/>
      <c r="O23" s="487"/>
    </row>
    <row r="24" spans="1:15" ht="30" x14ac:dyDescent="0.25">
      <c r="A24" s="482" t="s">
        <v>8</v>
      </c>
      <c r="B24" s="485" t="s">
        <v>7</v>
      </c>
      <c r="C24" s="485" t="s">
        <v>27</v>
      </c>
      <c r="D24" s="485" t="s">
        <v>127</v>
      </c>
      <c r="E24" s="485" t="s">
        <v>33</v>
      </c>
      <c r="F24" s="485" t="s">
        <v>45</v>
      </c>
      <c r="G24" s="485" t="s">
        <v>22</v>
      </c>
      <c r="H24" s="385">
        <v>42551</v>
      </c>
      <c r="I24" s="485" t="s">
        <v>301</v>
      </c>
      <c r="J24" s="379"/>
      <c r="K24" s="379">
        <v>0</v>
      </c>
      <c r="L24" s="490">
        <v>0</v>
      </c>
      <c r="M24" s="484"/>
      <c r="N24" s="484"/>
      <c r="O24" s="484"/>
    </row>
    <row r="25" spans="1:15" ht="15" x14ac:dyDescent="0.25">
      <c r="A25" s="181" t="s">
        <v>324</v>
      </c>
      <c r="B25" s="181"/>
      <c r="C25" s="181"/>
      <c r="D25" s="181"/>
      <c r="E25" s="182"/>
      <c r="F25" s="181"/>
      <c r="G25" s="181"/>
      <c r="H25" s="183" t="s">
        <v>206</v>
      </c>
      <c r="I25" s="181"/>
      <c r="J25" s="354">
        <v>6.1701833600000002</v>
      </c>
      <c r="K25" s="354">
        <v>-4.6095687600000002</v>
      </c>
      <c r="L25" s="354">
        <v>1.5606145999999996</v>
      </c>
      <c r="M25" s="354">
        <v>1.4812447799999997</v>
      </c>
      <c r="N25" s="354">
        <v>7.9369820000000008E-2</v>
      </c>
      <c r="O25" s="354"/>
    </row>
    <row r="26" spans="1:15" ht="15" x14ac:dyDescent="0.25">
      <c r="A26" s="181"/>
      <c r="B26" s="181"/>
      <c r="C26" s="181"/>
      <c r="D26" s="181"/>
      <c r="E26" s="182"/>
      <c r="F26" s="181"/>
      <c r="G26" s="181"/>
      <c r="H26" s="183"/>
      <c r="I26" s="181"/>
      <c r="J26" s="354"/>
      <c r="K26" s="354"/>
      <c r="L26" s="354"/>
      <c r="M26" s="354"/>
      <c r="N26" s="354"/>
      <c r="O26" s="354"/>
    </row>
    <row r="27" spans="1:15" ht="15" x14ac:dyDescent="0.25">
      <c r="A27" s="184" t="s">
        <v>328</v>
      </c>
      <c r="B27" s="184"/>
      <c r="C27" s="185"/>
      <c r="D27" s="185"/>
      <c r="E27" s="184"/>
      <c r="F27" s="184"/>
      <c r="G27" s="184"/>
      <c r="H27" s="383"/>
      <c r="I27" s="184"/>
      <c r="J27" s="459"/>
      <c r="K27" s="459"/>
      <c r="L27" s="459"/>
      <c r="M27" s="459"/>
      <c r="N27" s="459"/>
      <c r="O27" s="186"/>
    </row>
    <row r="28" spans="1:15" ht="30" x14ac:dyDescent="0.25">
      <c r="A28" s="482"/>
      <c r="B28" s="482" t="s">
        <v>7</v>
      </c>
      <c r="C28" s="482" t="s">
        <v>92</v>
      </c>
      <c r="D28" s="482" t="s">
        <v>128</v>
      </c>
      <c r="E28" s="327" t="s">
        <v>33</v>
      </c>
      <c r="F28" s="327" t="s">
        <v>45</v>
      </c>
      <c r="G28" s="482" t="s">
        <v>22</v>
      </c>
      <c r="H28" s="483">
        <v>41455</v>
      </c>
      <c r="I28" s="482" t="s">
        <v>137</v>
      </c>
      <c r="J28" s="88">
        <v>0.78420411999999995</v>
      </c>
      <c r="K28" s="88">
        <v>-0.51214011999999998</v>
      </c>
      <c r="L28" s="488">
        <v>0.27206399999999997</v>
      </c>
      <c r="M28" s="379"/>
      <c r="N28" s="379"/>
      <c r="O28" s="379"/>
    </row>
    <row r="29" spans="1:15" ht="30" x14ac:dyDescent="0.25">
      <c r="A29" s="485"/>
      <c r="B29" s="485" t="s">
        <v>7</v>
      </c>
      <c r="C29" s="485" t="s">
        <v>92</v>
      </c>
      <c r="D29" s="485" t="s">
        <v>128</v>
      </c>
      <c r="E29" s="485" t="s">
        <v>33</v>
      </c>
      <c r="F29" s="485" t="s">
        <v>45</v>
      </c>
      <c r="G29" s="485" t="s">
        <v>22</v>
      </c>
      <c r="H29" s="385">
        <v>42185</v>
      </c>
      <c r="I29" s="485" t="s">
        <v>139</v>
      </c>
      <c r="J29" s="379">
        <v>2.7230235199999999</v>
      </c>
      <c r="K29" s="379">
        <v>0</v>
      </c>
      <c r="L29" s="489">
        <v>2.7230235199999999</v>
      </c>
      <c r="M29" s="380"/>
      <c r="N29" s="380"/>
      <c r="O29" s="380"/>
    </row>
    <row r="30" spans="1:15" ht="30" x14ac:dyDescent="0.25">
      <c r="A30" s="482"/>
      <c r="B30" s="482" t="s">
        <v>7</v>
      </c>
      <c r="C30" s="482" t="s">
        <v>92</v>
      </c>
      <c r="D30" s="482" t="s">
        <v>128</v>
      </c>
      <c r="E30" s="482" t="s">
        <v>33</v>
      </c>
      <c r="F30" s="482" t="s">
        <v>45</v>
      </c>
      <c r="G30" s="482" t="s">
        <v>22</v>
      </c>
      <c r="H30" s="386">
        <v>42185</v>
      </c>
      <c r="I30" s="482" t="s">
        <v>139</v>
      </c>
      <c r="J30" s="380">
        <v>1.5495680000000001</v>
      </c>
      <c r="K30" s="380">
        <v>0</v>
      </c>
      <c r="L30" s="488">
        <v>1.5495680000000001</v>
      </c>
      <c r="M30" s="379"/>
      <c r="N30" s="379"/>
      <c r="O30" s="379"/>
    </row>
    <row r="31" spans="1:15" ht="30" x14ac:dyDescent="0.25">
      <c r="A31" s="485"/>
      <c r="B31" s="485" t="s">
        <v>7</v>
      </c>
      <c r="C31" s="485" t="s">
        <v>92</v>
      </c>
      <c r="D31" s="485" t="s">
        <v>128</v>
      </c>
      <c r="E31" s="485" t="s">
        <v>33</v>
      </c>
      <c r="F31" s="485" t="s">
        <v>45</v>
      </c>
      <c r="G31" s="485" t="s">
        <v>22</v>
      </c>
      <c r="H31" s="385">
        <v>42551</v>
      </c>
      <c r="I31" s="485" t="s">
        <v>301</v>
      </c>
      <c r="J31" s="379">
        <v>0.72236800000000001</v>
      </c>
      <c r="K31" s="379">
        <v>0</v>
      </c>
      <c r="L31" s="490">
        <v>0.72236800000000001</v>
      </c>
      <c r="M31" s="380"/>
      <c r="N31" s="380"/>
      <c r="O31" s="380"/>
    </row>
    <row r="32" spans="1:15" ht="15" x14ac:dyDescent="0.25">
      <c r="A32" s="181" t="s">
        <v>325</v>
      </c>
      <c r="B32" s="181"/>
      <c r="C32" s="181"/>
      <c r="D32" s="181"/>
      <c r="E32" s="182"/>
      <c r="F32" s="181"/>
      <c r="G32" s="181"/>
      <c r="H32" s="183" t="s">
        <v>206</v>
      </c>
      <c r="I32" s="181"/>
      <c r="J32" s="354">
        <v>5.7791636400000002</v>
      </c>
      <c r="K32" s="354">
        <v>-0.51214011999999998</v>
      </c>
      <c r="L32" s="354">
        <v>5.2670235200000004</v>
      </c>
      <c r="M32" s="354">
        <v>6.3156477899999999</v>
      </c>
      <c r="N32" s="354">
        <v>-1.0486242699999999</v>
      </c>
      <c r="O32" s="354"/>
    </row>
    <row r="33" spans="1:15" ht="30" x14ac:dyDescent="0.25">
      <c r="A33" s="181" t="s">
        <v>331</v>
      </c>
      <c r="B33" s="181"/>
      <c r="C33" s="181"/>
      <c r="D33" s="181"/>
      <c r="E33" s="182"/>
      <c r="F33" s="181"/>
      <c r="G33" s="181"/>
      <c r="H33" s="183"/>
      <c r="I33" s="181"/>
      <c r="J33" s="354">
        <f>J32 + J25</f>
        <v>11.949346999999999</v>
      </c>
      <c r="K33" s="354">
        <f>K32 + K25</f>
        <v>-5.1217088799999999</v>
      </c>
      <c r="L33" s="354">
        <f>L32 + L25</f>
        <v>6.8276381199999996</v>
      </c>
      <c r="M33" s="354">
        <f>M32 + M25</f>
        <v>7.7968925699999998</v>
      </c>
      <c r="N33" s="354">
        <f>IF(AND(N32&gt;0, N25&gt;0),N32 + N25,IF(AND(N32&gt;0, N25&lt;=0),N32,IF(AND(N32&lt;0, N25&gt;=0), N25,0)))</f>
        <v>7.9369820000000008E-2</v>
      </c>
      <c r="O33" s="354"/>
    </row>
    <row r="34" spans="1:15" ht="15" x14ac:dyDescent="0.25">
      <c r="A34" s="184" t="s">
        <v>298</v>
      </c>
      <c r="B34" s="184"/>
      <c r="C34" s="185"/>
      <c r="D34" s="185"/>
      <c r="E34" s="184"/>
      <c r="F34" s="184"/>
      <c r="G34" s="184"/>
      <c r="H34" s="383"/>
      <c r="I34" s="184"/>
      <c r="J34" s="403"/>
      <c r="K34" s="403"/>
      <c r="L34" s="403"/>
      <c r="M34" s="403"/>
      <c r="N34" s="403"/>
      <c r="O34" s="404"/>
    </row>
    <row r="35" spans="1:15" ht="15" x14ac:dyDescent="0.25">
      <c r="A35" s="901" t="s">
        <v>325</v>
      </c>
      <c r="B35" s="902"/>
      <c r="C35" s="902"/>
      <c r="D35" s="902"/>
      <c r="E35" s="902"/>
      <c r="F35" s="902"/>
      <c r="G35" s="902"/>
      <c r="H35" s="902"/>
      <c r="I35" s="902"/>
      <c r="J35" s="902"/>
      <c r="K35" s="902"/>
      <c r="L35" s="902"/>
      <c r="M35" s="902"/>
      <c r="N35" s="902"/>
      <c r="O35" s="903"/>
    </row>
    <row r="36" spans="1:15" ht="60" x14ac:dyDescent="0.25">
      <c r="A36" s="176" t="s">
        <v>89</v>
      </c>
      <c r="B36" s="176" t="s">
        <v>90</v>
      </c>
      <c r="C36" s="177" t="s">
        <v>0</v>
      </c>
      <c r="D36" s="177" t="s">
        <v>124</v>
      </c>
      <c r="E36" s="176" t="s">
        <v>143</v>
      </c>
      <c r="F36" s="176" t="s">
        <v>144</v>
      </c>
      <c r="G36" s="176" t="s">
        <v>13</v>
      </c>
      <c r="H36" s="382" t="s">
        <v>88</v>
      </c>
      <c r="I36" s="176" t="s">
        <v>12</v>
      </c>
      <c r="J36" s="400" t="s">
        <v>200</v>
      </c>
      <c r="K36" s="400" t="s">
        <v>199</v>
      </c>
      <c r="L36" s="400" t="s">
        <v>201</v>
      </c>
      <c r="M36" s="400" t="s">
        <v>149</v>
      </c>
      <c r="N36" s="400" t="s">
        <v>179</v>
      </c>
      <c r="O36" s="400" t="s">
        <v>304</v>
      </c>
    </row>
    <row r="37" spans="1:15" ht="30" x14ac:dyDescent="0.25">
      <c r="A37" s="485" t="s">
        <v>84</v>
      </c>
      <c r="B37" s="485" t="s">
        <v>9</v>
      </c>
      <c r="C37" s="485" t="s">
        <v>183</v>
      </c>
      <c r="D37" s="485" t="s">
        <v>142</v>
      </c>
      <c r="E37" s="329" t="s">
        <v>142</v>
      </c>
      <c r="F37" s="485" t="s">
        <v>142</v>
      </c>
      <c r="G37" s="485" t="s">
        <v>22</v>
      </c>
      <c r="H37" s="93">
        <v>41449</v>
      </c>
      <c r="I37" s="485" t="s">
        <v>172</v>
      </c>
      <c r="J37" s="96">
        <v>7.0349999999999996E-2</v>
      </c>
      <c r="K37" s="96" t="s">
        <v>299</v>
      </c>
      <c r="L37" s="292">
        <v>7.0349999999999996E-2</v>
      </c>
      <c r="M37" s="292">
        <f>+O37*50000/1000000</f>
        <v>6.4935000000000007E-2</v>
      </c>
      <c r="N37" s="292">
        <f>M37-L37</f>
        <v>-5.4149999999999893E-3</v>
      </c>
      <c r="O37" s="96">
        <v>1.2987</v>
      </c>
    </row>
    <row r="38" spans="1:15" ht="30" x14ac:dyDescent="0.25">
      <c r="A38" s="111" t="s">
        <v>297</v>
      </c>
      <c r="B38" s="99"/>
      <c r="C38" s="2"/>
      <c r="D38" s="2"/>
      <c r="E38" s="2"/>
      <c r="F38" s="2"/>
      <c r="G38" s="2"/>
      <c r="H38" s="3"/>
      <c r="I38" s="2"/>
      <c r="J38" s="293"/>
      <c r="K38" s="293"/>
      <c r="L38" s="491">
        <f>L37</f>
        <v>7.0349999999999996E-2</v>
      </c>
      <c r="M38" s="144"/>
      <c r="N38" s="491">
        <f>IF(N37&gt;0,N37,0)</f>
        <v>0</v>
      </c>
      <c r="O38" s="144"/>
    </row>
    <row r="39" spans="1:15" ht="15" x14ac:dyDescent="0.25">
      <c r="A39" s="99"/>
      <c r="B39" s="99"/>
      <c r="C39" s="99"/>
      <c r="D39" s="99"/>
      <c r="E39" s="99"/>
      <c r="F39" s="99"/>
      <c r="G39" s="99"/>
      <c r="H39" s="388"/>
      <c r="I39" s="99"/>
      <c r="J39" s="144"/>
      <c r="K39" s="144"/>
      <c r="L39" s="144"/>
      <c r="M39" s="144"/>
      <c r="N39" s="144"/>
      <c r="O39" s="144"/>
    </row>
    <row r="40" spans="1:15" ht="15" x14ac:dyDescent="0.25">
      <c r="A40" s="99"/>
      <c r="B40" s="99"/>
      <c r="C40" s="99"/>
      <c r="D40" s="99"/>
      <c r="E40" s="99"/>
      <c r="F40" s="99"/>
      <c r="G40" s="99"/>
      <c r="H40" s="388"/>
      <c r="I40" s="99"/>
      <c r="J40" s="77"/>
      <c r="K40" s="144"/>
      <c r="L40" s="144"/>
      <c r="M40" s="77"/>
      <c r="N40" s="77"/>
      <c r="O40" s="77"/>
    </row>
    <row r="41" spans="1:15" ht="15" x14ac:dyDescent="0.25">
      <c r="A41" s="99"/>
      <c r="B41" s="99"/>
      <c r="C41" s="99"/>
      <c r="D41" s="99"/>
      <c r="E41" s="99"/>
      <c r="F41" s="99"/>
      <c r="G41" s="99"/>
      <c r="H41" s="388"/>
      <c r="I41" s="99"/>
      <c r="J41" s="77"/>
      <c r="K41" s="77"/>
      <c r="L41" s="77"/>
      <c r="M41" s="77"/>
      <c r="N41" s="77"/>
      <c r="O41" s="77"/>
    </row>
    <row r="42" spans="1:15" ht="15" x14ac:dyDescent="0.25">
      <c r="A42" s="99"/>
      <c r="B42" s="99"/>
      <c r="C42" s="99"/>
      <c r="D42" s="99"/>
      <c r="E42" s="99"/>
      <c r="F42" s="99"/>
      <c r="G42" s="99"/>
      <c r="H42" s="388"/>
      <c r="I42" s="99"/>
      <c r="J42" s="77"/>
      <c r="K42" s="77"/>
      <c r="L42" s="77"/>
      <c r="M42" s="77"/>
      <c r="N42" s="77"/>
      <c r="O42" s="77"/>
    </row>
    <row r="43" spans="1:15" ht="15" x14ac:dyDescent="0.25">
      <c r="A43" s="99"/>
      <c r="B43" s="99"/>
      <c r="C43" s="99"/>
      <c r="D43" s="99"/>
      <c r="E43" s="99"/>
      <c r="F43" s="99"/>
      <c r="G43" s="99"/>
      <c r="H43" s="388"/>
      <c r="I43" s="99"/>
      <c r="J43" s="77"/>
      <c r="K43" s="77"/>
      <c r="L43" s="77"/>
      <c r="M43" s="77"/>
      <c r="N43" s="77"/>
      <c r="O43" s="77"/>
    </row>
    <row r="44" spans="1:15" ht="15" x14ac:dyDescent="0.25">
      <c r="A44" s="99"/>
      <c r="B44" s="99"/>
      <c r="C44" s="99"/>
      <c r="D44" s="99"/>
      <c r="E44" s="99"/>
      <c r="F44" s="99"/>
      <c r="G44" s="99"/>
      <c r="H44" s="388"/>
      <c r="I44" s="99"/>
      <c r="J44" s="77"/>
      <c r="K44" s="77"/>
      <c r="L44" s="77"/>
      <c r="M44" s="77"/>
      <c r="N44" s="77"/>
      <c r="O44" s="77"/>
    </row>
    <row r="45" spans="1:15" ht="15" x14ac:dyDescent="0.25">
      <c r="A45" s="99"/>
      <c r="B45" s="99"/>
      <c r="C45" s="99"/>
      <c r="D45" s="99"/>
      <c r="E45" s="99"/>
      <c r="F45" s="99"/>
      <c r="G45" s="99"/>
      <c r="H45" s="388"/>
      <c r="I45" s="99"/>
      <c r="J45" s="77"/>
      <c r="K45" s="77"/>
      <c r="L45" s="77"/>
      <c r="M45" s="77"/>
      <c r="N45" s="77"/>
      <c r="O45" s="77"/>
    </row>
    <row r="46" spans="1:15" ht="15" x14ac:dyDescent="0.25">
      <c r="A46" s="99"/>
      <c r="B46" s="99"/>
      <c r="C46" s="99"/>
      <c r="D46" s="99"/>
      <c r="E46" s="99"/>
      <c r="F46" s="99"/>
      <c r="G46" s="99"/>
      <c r="H46" s="388"/>
      <c r="I46" s="99"/>
      <c r="J46" s="77"/>
      <c r="K46" s="77"/>
      <c r="L46" s="77"/>
      <c r="M46" s="77"/>
      <c r="N46" s="77"/>
      <c r="O46" s="77"/>
    </row>
    <row r="47" spans="1:15" ht="15.6" thickBot="1" x14ac:dyDescent="0.3">
      <c r="A47" s="904"/>
      <c r="B47" s="904"/>
      <c r="C47" s="904"/>
      <c r="D47" s="904"/>
      <c r="E47" s="904"/>
      <c r="F47" s="904"/>
      <c r="G47" s="904"/>
      <c r="H47" s="904"/>
      <c r="I47" s="904"/>
      <c r="J47" s="904"/>
      <c r="K47" s="904"/>
      <c r="L47" s="904"/>
      <c r="M47" s="904"/>
      <c r="N47" s="904"/>
      <c r="O47" s="904"/>
    </row>
    <row r="48" spans="1:15" ht="15.6" x14ac:dyDescent="0.3">
      <c r="A48" s="905"/>
      <c r="B48" s="905"/>
      <c r="C48" s="905"/>
      <c r="D48" s="905"/>
      <c r="E48" s="905"/>
      <c r="F48" s="905"/>
      <c r="G48" s="99"/>
      <c r="H48" s="388"/>
      <c r="I48" s="99"/>
      <c r="J48" s="77"/>
      <c r="K48" s="77"/>
      <c r="L48" s="77"/>
      <c r="M48" s="77"/>
      <c r="N48" s="77"/>
      <c r="O48" s="77"/>
    </row>
    <row r="49" spans="1:15" ht="15.6" x14ac:dyDescent="0.3">
      <c r="A49" s="202"/>
      <c r="B49" s="203"/>
      <c r="C49" s="203"/>
      <c r="D49" s="202"/>
      <c r="E49" s="202"/>
      <c r="F49" s="202"/>
      <c r="G49" s="99"/>
      <c r="H49" s="384"/>
      <c r="I49" s="99"/>
      <c r="J49" s="77"/>
      <c r="K49" s="77"/>
      <c r="L49" s="77"/>
      <c r="M49" s="77"/>
      <c r="N49" s="77"/>
      <c r="O49" s="77"/>
    </row>
    <row r="50" spans="1:15" ht="15" x14ac:dyDescent="0.25">
      <c r="A50" s="391"/>
      <c r="B50" s="391"/>
      <c r="C50" s="391"/>
      <c r="D50" s="391"/>
      <c r="E50" s="391"/>
      <c r="F50" s="391"/>
      <c r="G50" s="99"/>
      <c r="H50" s="388"/>
      <c r="I50" s="99"/>
      <c r="J50" s="77"/>
      <c r="K50" s="77"/>
      <c r="L50" s="77"/>
      <c r="M50" s="77"/>
      <c r="N50" s="77"/>
      <c r="O50" s="77"/>
    </row>
    <row r="51" spans="1:15" ht="15" x14ac:dyDescent="0.25">
      <c r="A51" s="395"/>
      <c r="B51" s="392"/>
      <c r="C51" s="392"/>
      <c r="D51" s="392"/>
      <c r="E51" s="392"/>
      <c r="F51" s="205"/>
      <c r="G51" s="99"/>
      <c r="H51" s="388"/>
      <c r="I51" s="99"/>
      <c r="J51" s="77"/>
      <c r="K51" s="77"/>
      <c r="L51" s="77"/>
      <c r="M51" s="77"/>
      <c r="N51" s="77"/>
      <c r="O51" s="77"/>
    </row>
    <row r="52" spans="1:15" ht="15" x14ac:dyDescent="0.25">
      <c r="A52" s="395"/>
      <c r="B52" s="392"/>
      <c r="C52" s="392"/>
      <c r="D52" s="392"/>
      <c r="E52" s="392"/>
      <c r="F52" s="205"/>
      <c r="G52" s="99"/>
      <c r="H52" s="388"/>
      <c r="I52" s="99"/>
      <c r="J52" s="77"/>
      <c r="K52" s="77"/>
      <c r="L52" s="77"/>
      <c r="M52" s="77"/>
      <c r="N52" s="77"/>
      <c r="O52" s="77"/>
    </row>
    <row r="53" spans="1:15" ht="15" x14ac:dyDescent="0.25">
      <c r="A53" s="391"/>
      <c r="B53" s="392"/>
      <c r="C53" s="392"/>
      <c r="D53" s="392"/>
      <c r="E53" s="392"/>
      <c r="F53" s="205"/>
      <c r="G53" s="99"/>
      <c r="H53" s="388"/>
      <c r="I53" s="99"/>
      <c r="J53" s="77"/>
      <c r="K53" s="77"/>
      <c r="L53" s="77"/>
      <c r="M53" s="77"/>
      <c r="N53" s="77"/>
      <c r="O53" s="77"/>
    </row>
    <row r="54" spans="1:15" ht="15" x14ac:dyDescent="0.25">
      <c r="A54" s="395"/>
      <c r="B54" s="392"/>
      <c r="C54" s="392"/>
      <c r="D54" s="392"/>
      <c r="E54" s="392"/>
      <c r="F54" s="205"/>
      <c r="G54" s="99"/>
      <c r="H54" s="388"/>
      <c r="I54" s="99"/>
      <c r="J54" s="77"/>
      <c r="K54" s="77"/>
      <c r="L54" s="77"/>
      <c r="M54" s="77"/>
      <c r="N54" s="77"/>
      <c r="O54" s="77"/>
    </row>
    <row r="55" spans="1:15" ht="15" x14ac:dyDescent="0.25">
      <c r="A55" s="391"/>
      <c r="B55" s="392"/>
      <c r="C55" s="392"/>
      <c r="D55" s="392"/>
      <c r="E55" s="392"/>
      <c r="F55" s="205"/>
      <c r="G55" s="99"/>
      <c r="H55" s="388"/>
      <c r="I55" s="99"/>
      <c r="J55" s="77"/>
      <c r="K55" s="77"/>
      <c r="L55" s="77"/>
      <c r="M55" s="77"/>
      <c r="N55" s="77"/>
      <c r="O55" s="77"/>
    </row>
    <row r="56" spans="1:15" ht="15" x14ac:dyDescent="0.25">
      <c r="A56" s="391"/>
      <c r="B56" s="392"/>
      <c r="C56" s="392"/>
      <c r="D56" s="392"/>
      <c r="E56" s="392"/>
      <c r="F56" s="205"/>
      <c r="G56" s="99"/>
      <c r="H56" s="388"/>
      <c r="I56" s="99"/>
      <c r="J56" s="77"/>
      <c r="K56" s="77"/>
      <c r="L56" s="77"/>
      <c r="M56" s="77"/>
      <c r="N56" s="77"/>
      <c r="O56" s="77"/>
    </row>
    <row r="57" spans="1:15" ht="16.8" x14ac:dyDescent="0.4">
      <c r="A57" s="391"/>
      <c r="B57" s="393"/>
      <c r="C57" s="393"/>
      <c r="D57" s="393"/>
      <c r="E57" s="393"/>
      <c r="F57" s="207"/>
      <c r="G57" s="99"/>
      <c r="H57" s="389"/>
      <c r="I57" s="99"/>
      <c r="J57" s="77"/>
      <c r="K57" s="77"/>
      <c r="L57" s="77"/>
      <c r="M57" s="77"/>
      <c r="N57" s="77"/>
      <c r="O57" s="77"/>
    </row>
    <row r="58" spans="1:15" ht="16.8" x14ac:dyDescent="0.4">
      <c r="A58" s="391"/>
      <c r="B58" s="394"/>
      <c r="C58" s="394"/>
      <c r="D58" s="394"/>
      <c r="E58" s="394"/>
      <c r="F58" s="210"/>
      <c r="G58" s="99"/>
      <c r="H58" s="390"/>
      <c r="I58" s="99"/>
      <c r="J58" s="77"/>
      <c r="K58" s="77"/>
      <c r="L58" s="77"/>
      <c r="M58" s="77"/>
      <c r="N58" s="77"/>
      <c r="O58" s="77"/>
    </row>
    <row r="59" spans="1:15" ht="15" x14ac:dyDescent="0.25">
      <c r="A59" s="391"/>
      <c r="B59" s="391"/>
      <c r="C59" s="391"/>
      <c r="D59" s="391"/>
      <c r="E59" s="391"/>
      <c r="F59" s="391"/>
      <c r="G59" s="99"/>
      <c r="H59" s="388"/>
      <c r="I59" s="99"/>
      <c r="J59" s="77"/>
      <c r="K59" s="77"/>
      <c r="L59" s="77"/>
      <c r="M59" s="77"/>
      <c r="N59" s="77"/>
      <c r="O59" s="77"/>
    </row>
    <row r="60" spans="1:15" ht="15" x14ac:dyDescent="0.25">
      <c r="A60" s="99"/>
      <c r="B60" s="99"/>
      <c r="C60" s="99"/>
      <c r="D60" s="99"/>
      <c r="E60" s="99"/>
      <c r="F60" s="99"/>
      <c r="G60" s="99"/>
      <c r="H60" s="388"/>
      <c r="I60" s="99"/>
      <c r="J60" s="77"/>
      <c r="K60" s="77"/>
      <c r="L60" s="77"/>
      <c r="M60" s="77"/>
      <c r="N60" s="77"/>
      <c r="O60" s="77"/>
    </row>
    <row r="61" spans="1:15" ht="15" x14ac:dyDescent="0.25">
      <c r="A61" s="99"/>
      <c r="B61" s="99"/>
      <c r="C61" s="99"/>
      <c r="D61" s="99"/>
      <c r="E61" s="99"/>
      <c r="F61" s="99"/>
      <c r="G61" s="99"/>
      <c r="H61" s="388"/>
      <c r="I61" s="99"/>
      <c r="J61" s="77"/>
      <c r="K61" s="77"/>
      <c r="L61" s="77"/>
      <c r="M61" s="77"/>
      <c r="N61" s="77"/>
      <c r="O61" s="77"/>
    </row>
    <row r="62" spans="1:15" ht="15" x14ac:dyDescent="0.25">
      <c r="A62" s="99"/>
      <c r="B62" s="99"/>
      <c r="C62" s="99"/>
      <c r="D62" s="99"/>
      <c r="E62" s="99"/>
      <c r="F62" s="99"/>
      <c r="G62" s="99"/>
      <c r="H62" s="388"/>
      <c r="I62" s="99"/>
      <c r="J62" s="77"/>
      <c r="K62" s="77"/>
      <c r="L62" s="77"/>
      <c r="M62" s="77"/>
      <c r="N62" s="77"/>
      <c r="O62" s="77"/>
    </row>
    <row r="63" spans="1:15" ht="15" x14ac:dyDescent="0.25">
      <c r="A63" s="99"/>
      <c r="B63" s="99"/>
      <c r="C63" s="99"/>
      <c r="D63" s="99"/>
      <c r="E63" s="99"/>
      <c r="F63" s="99"/>
      <c r="G63" s="99"/>
      <c r="H63" s="388"/>
      <c r="I63" s="99"/>
      <c r="J63" s="77"/>
      <c r="K63" s="77"/>
      <c r="L63" s="77"/>
      <c r="M63" s="77"/>
      <c r="N63" s="77"/>
      <c r="O63" s="77"/>
    </row>
    <row r="64" spans="1:15" ht="15" x14ac:dyDescent="0.25">
      <c r="A64" s="99"/>
      <c r="B64" s="99"/>
      <c r="C64" s="99"/>
      <c r="D64" s="99"/>
      <c r="E64" s="99"/>
      <c r="F64" s="99"/>
      <c r="G64" s="99"/>
      <c r="H64" s="388"/>
      <c r="I64" s="99"/>
      <c r="J64" s="77"/>
      <c r="K64" s="77"/>
      <c r="L64" s="77"/>
      <c r="M64" s="77"/>
      <c r="N64" s="77"/>
      <c r="O64" s="77"/>
    </row>
    <row r="65" spans="1:15" ht="15" x14ac:dyDescent="0.25">
      <c r="A65" s="99"/>
      <c r="B65" s="99"/>
      <c r="C65" s="99"/>
      <c r="D65" s="99"/>
      <c r="E65" s="99"/>
      <c r="F65" s="99"/>
      <c r="G65" s="99"/>
      <c r="H65" s="388"/>
      <c r="I65" s="99"/>
      <c r="J65" s="77"/>
      <c r="K65" s="77"/>
      <c r="L65" s="77"/>
      <c r="M65" s="77"/>
      <c r="N65" s="77"/>
      <c r="O65" s="77"/>
    </row>
    <row r="66" spans="1:15" ht="15" x14ac:dyDescent="0.25">
      <c r="A66" s="99"/>
      <c r="B66" s="99"/>
      <c r="C66" s="99"/>
      <c r="D66" s="99"/>
      <c r="E66" s="99"/>
      <c r="F66" s="99"/>
      <c r="G66" s="99"/>
      <c r="H66" s="388"/>
      <c r="I66" s="99"/>
      <c r="J66" s="77"/>
      <c r="K66" s="77"/>
      <c r="L66" s="77"/>
      <c r="M66" s="77"/>
      <c r="N66" s="77"/>
      <c r="O66" s="77"/>
    </row>
    <row r="67" spans="1:15" ht="15" x14ac:dyDescent="0.25">
      <c r="A67" s="99"/>
      <c r="B67" s="99"/>
      <c r="C67" s="99"/>
      <c r="D67" s="99"/>
      <c r="E67" s="99"/>
      <c r="F67" s="99"/>
      <c r="G67" s="99"/>
      <c r="H67" s="388"/>
      <c r="I67" s="99"/>
      <c r="J67" s="77"/>
      <c r="K67" s="77"/>
      <c r="L67" s="77"/>
      <c r="M67" s="77"/>
      <c r="N67" s="77"/>
      <c r="O67" s="77"/>
    </row>
    <row r="68" spans="1:15" ht="15" x14ac:dyDescent="0.25">
      <c r="A68" s="99"/>
      <c r="B68" s="99"/>
      <c r="C68" s="99"/>
      <c r="D68" s="99"/>
      <c r="E68" s="99"/>
      <c r="F68" s="99"/>
      <c r="G68" s="99"/>
      <c r="H68" s="388"/>
      <c r="I68" s="99"/>
      <c r="J68" s="77"/>
      <c r="K68" s="77"/>
      <c r="L68" s="77"/>
      <c r="M68" s="77"/>
      <c r="N68" s="77"/>
      <c r="O68" s="77"/>
    </row>
    <row r="69" spans="1:15" ht="15" x14ac:dyDescent="0.25">
      <c r="A69" s="99"/>
      <c r="B69" s="99"/>
      <c r="C69" s="99"/>
      <c r="D69" s="99"/>
      <c r="E69" s="99"/>
      <c r="F69" s="99"/>
      <c r="G69" s="99"/>
      <c r="H69" s="388"/>
      <c r="I69" s="99"/>
      <c r="J69" s="77"/>
      <c r="K69" s="77"/>
      <c r="L69" s="77"/>
      <c r="M69" s="77"/>
      <c r="N69" s="77"/>
      <c r="O69" s="77"/>
    </row>
    <row r="70" spans="1:15" ht="15" x14ac:dyDescent="0.25">
      <c r="A70" s="99"/>
      <c r="B70" s="99"/>
      <c r="C70" s="99"/>
      <c r="D70" s="99"/>
      <c r="E70" s="99"/>
      <c r="F70" s="99"/>
      <c r="G70" s="99"/>
      <c r="H70" s="388"/>
      <c r="I70" s="99"/>
      <c r="J70" s="77"/>
      <c r="K70" s="77"/>
      <c r="L70" s="77"/>
      <c r="M70" s="77"/>
      <c r="N70" s="77"/>
      <c r="O70" s="77"/>
    </row>
    <row r="71" spans="1:15" ht="15" x14ac:dyDescent="0.25">
      <c r="A71" s="99"/>
      <c r="B71" s="99"/>
      <c r="C71" s="99"/>
      <c r="D71" s="99"/>
      <c r="E71" s="99"/>
      <c r="F71" s="99"/>
      <c r="G71" s="99"/>
      <c r="H71" s="388"/>
      <c r="I71" s="99"/>
      <c r="J71" s="77"/>
      <c r="K71" s="77"/>
      <c r="L71" s="77"/>
      <c r="M71" s="77"/>
      <c r="N71" s="77"/>
      <c r="O71" s="77"/>
    </row>
    <row r="72" spans="1:15" ht="15" x14ac:dyDescent="0.25">
      <c r="A72" s="99"/>
      <c r="B72" s="99"/>
      <c r="C72" s="99"/>
      <c r="D72" s="99"/>
      <c r="E72" s="99"/>
      <c r="F72" s="99"/>
      <c r="G72" s="99"/>
      <c r="H72" s="388"/>
      <c r="I72" s="99"/>
      <c r="J72" s="77"/>
      <c r="K72" s="77"/>
      <c r="L72" s="77"/>
      <c r="M72" s="77"/>
      <c r="N72" s="77"/>
      <c r="O72" s="77"/>
    </row>
    <row r="73" spans="1:15" ht="15" x14ac:dyDescent="0.25">
      <c r="A73" s="99"/>
      <c r="B73" s="99"/>
      <c r="C73" s="99"/>
      <c r="D73" s="99"/>
      <c r="E73" s="99"/>
      <c r="F73" s="99"/>
      <c r="G73" s="99"/>
      <c r="H73" s="388"/>
      <c r="I73" s="99"/>
      <c r="J73" s="77"/>
      <c r="K73" s="77"/>
      <c r="L73" s="77"/>
      <c r="M73" s="77"/>
      <c r="N73" s="77"/>
      <c r="O73" s="77"/>
    </row>
    <row r="74" spans="1:15" ht="15" x14ac:dyDescent="0.25">
      <c r="A74" s="99"/>
      <c r="B74" s="99"/>
      <c r="C74" s="99"/>
      <c r="D74" s="99"/>
      <c r="E74" s="99"/>
      <c r="F74" s="99"/>
      <c r="G74" s="99"/>
      <c r="H74" s="388"/>
      <c r="I74" s="99"/>
      <c r="J74" s="77"/>
      <c r="K74" s="77"/>
      <c r="L74" s="77"/>
      <c r="M74" s="77"/>
      <c r="N74" s="77"/>
      <c r="O74" s="77"/>
    </row>
    <row r="75" spans="1:15" ht="15" x14ac:dyDescent="0.25">
      <c r="A75" s="99"/>
      <c r="B75" s="99"/>
      <c r="C75" s="99"/>
      <c r="D75" s="99"/>
      <c r="E75" s="99"/>
      <c r="F75" s="99"/>
      <c r="G75" s="99"/>
      <c r="H75" s="388"/>
      <c r="I75" s="99"/>
      <c r="J75" s="77"/>
      <c r="K75" s="77"/>
      <c r="L75" s="77"/>
      <c r="M75" s="77"/>
      <c r="N75" s="77"/>
      <c r="O75" s="77"/>
    </row>
    <row r="76" spans="1:15" ht="15" x14ac:dyDescent="0.25">
      <c r="A76" s="99"/>
      <c r="B76" s="99"/>
      <c r="C76" s="99"/>
      <c r="D76" s="99"/>
      <c r="E76" s="99"/>
      <c r="F76" s="99"/>
      <c r="G76" s="99"/>
      <c r="H76" s="388"/>
      <c r="I76" s="99"/>
      <c r="J76" s="77"/>
      <c r="K76" s="77"/>
      <c r="L76" s="77"/>
      <c r="M76" s="77"/>
      <c r="N76" s="77"/>
      <c r="O76" s="77"/>
    </row>
    <row r="77" spans="1:15" ht="15" x14ac:dyDescent="0.25">
      <c r="A77" s="99"/>
      <c r="B77" s="99"/>
      <c r="C77" s="99"/>
      <c r="D77" s="99"/>
      <c r="E77" s="99"/>
      <c r="F77" s="99"/>
      <c r="G77" s="99"/>
      <c r="H77" s="388"/>
      <c r="I77" s="99"/>
      <c r="J77" s="77"/>
      <c r="K77" s="77"/>
      <c r="L77" s="77"/>
      <c r="M77" s="77"/>
      <c r="N77" s="77"/>
      <c r="O77" s="77"/>
    </row>
    <row r="78" spans="1:15" ht="15" x14ac:dyDescent="0.25">
      <c r="A78" s="99"/>
      <c r="B78" s="99"/>
      <c r="C78" s="99"/>
      <c r="D78" s="99"/>
      <c r="E78" s="99"/>
      <c r="F78" s="99"/>
      <c r="G78" s="99"/>
      <c r="H78" s="388"/>
      <c r="I78" s="99"/>
      <c r="J78" s="77"/>
      <c r="K78" s="77"/>
      <c r="L78" s="77"/>
      <c r="M78" s="77"/>
      <c r="N78" s="77"/>
      <c r="O78" s="77"/>
    </row>
    <row r="79" spans="1:15" ht="15" x14ac:dyDescent="0.25">
      <c r="A79" s="99"/>
      <c r="B79" s="99"/>
      <c r="C79" s="99"/>
      <c r="D79" s="99"/>
      <c r="E79" s="99"/>
      <c r="F79" s="99"/>
      <c r="G79" s="99"/>
      <c r="H79" s="388"/>
      <c r="I79" s="99"/>
      <c r="J79" s="77"/>
      <c r="K79" s="77"/>
      <c r="L79" s="77"/>
      <c r="M79" s="77"/>
      <c r="N79" s="77"/>
      <c r="O79" s="77"/>
    </row>
    <row r="80" spans="1:15" ht="15" x14ac:dyDescent="0.25">
      <c r="A80" s="99"/>
      <c r="B80" s="99"/>
      <c r="C80" s="99"/>
      <c r="D80" s="99"/>
      <c r="E80" s="99"/>
      <c r="F80" s="99"/>
      <c r="G80" s="99"/>
      <c r="H80" s="388"/>
      <c r="I80" s="99"/>
      <c r="J80" s="77"/>
      <c r="K80" s="77"/>
      <c r="L80" s="77"/>
      <c r="M80" s="77"/>
      <c r="N80" s="77"/>
      <c r="O80" s="77"/>
    </row>
    <row r="81" spans="1:15" ht="15" x14ac:dyDescent="0.25">
      <c r="A81" s="99"/>
      <c r="B81" s="99"/>
      <c r="C81" s="99"/>
      <c r="D81" s="99"/>
      <c r="E81" s="99"/>
      <c r="F81" s="99"/>
      <c r="G81" s="99"/>
      <c r="H81" s="388"/>
      <c r="I81" s="99"/>
      <c r="J81" s="77"/>
      <c r="K81" s="77"/>
      <c r="L81" s="77"/>
      <c r="M81" s="77"/>
      <c r="N81" s="77"/>
      <c r="O81" s="77"/>
    </row>
    <row r="82" spans="1:15" ht="15" x14ac:dyDescent="0.25">
      <c r="A82" s="99"/>
      <c r="B82" s="99"/>
      <c r="C82" s="99"/>
      <c r="D82" s="99"/>
      <c r="E82" s="99"/>
      <c r="F82" s="99"/>
      <c r="G82" s="99"/>
      <c r="H82" s="388"/>
      <c r="I82" s="99"/>
      <c r="J82" s="77"/>
      <c r="K82" s="77"/>
      <c r="L82" s="77"/>
      <c r="M82" s="77"/>
      <c r="N82" s="77"/>
      <c r="O82" s="77"/>
    </row>
    <row r="83" spans="1:15" ht="15" x14ac:dyDescent="0.25">
      <c r="A83" s="99"/>
      <c r="B83" s="99"/>
      <c r="C83" s="99"/>
      <c r="D83" s="99"/>
      <c r="E83" s="99"/>
      <c r="F83" s="99"/>
      <c r="G83" s="99"/>
      <c r="H83" s="388"/>
      <c r="I83" s="99"/>
      <c r="J83" s="77"/>
      <c r="K83" s="77"/>
      <c r="L83" s="77"/>
      <c r="M83" s="77"/>
      <c r="N83" s="77"/>
      <c r="O83" s="77"/>
    </row>
    <row r="84" spans="1:15" ht="15" x14ac:dyDescent="0.25">
      <c r="A84" s="99"/>
      <c r="B84" s="99"/>
      <c r="C84" s="99"/>
      <c r="D84" s="99"/>
      <c r="E84" s="99"/>
      <c r="F84" s="99"/>
      <c r="G84" s="99"/>
      <c r="H84" s="388"/>
      <c r="I84" s="99"/>
      <c r="J84" s="77"/>
      <c r="K84" s="77"/>
      <c r="L84" s="77"/>
      <c r="M84" s="77"/>
      <c r="N84" s="77"/>
      <c r="O84" s="77"/>
    </row>
    <row r="85" spans="1:15" ht="15" x14ac:dyDescent="0.25">
      <c r="A85" s="99"/>
      <c r="B85" s="99"/>
      <c r="C85" s="99"/>
      <c r="D85" s="99"/>
      <c r="E85" s="99"/>
      <c r="F85" s="99"/>
      <c r="G85" s="99"/>
      <c r="H85" s="388"/>
      <c r="I85" s="99"/>
      <c r="J85" s="77"/>
      <c r="K85" s="77"/>
      <c r="L85" s="77"/>
      <c r="M85" s="77"/>
      <c r="N85" s="77"/>
      <c r="O85" s="77"/>
    </row>
    <row r="86" spans="1:15" ht="15" x14ac:dyDescent="0.25">
      <c r="A86" s="99"/>
      <c r="B86" s="99"/>
      <c r="C86" s="99"/>
      <c r="D86" s="99"/>
      <c r="E86" s="99"/>
      <c r="F86" s="99"/>
      <c r="G86" s="99"/>
      <c r="H86" s="388"/>
      <c r="I86" s="99"/>
      <c r="J86" s="77"/>
      <c r="K86" s="77"/>
      <c r="L86" s="77"/>
      <c r="M86" s="77"/>
      <c r="N86" s="77"/>
      <c r="O86" s="77"/>
    </row>
    <row r="87" spans="1:15" ht="15" x14ac:dyDescent="0.25">
      <c r="A87" s="99"/>
      <c r="B87" s="99"/>
      <c r="C87" s="99"/>
      <c r="D87" s="99"/>
      <c r="E87" s="99"/>
      <c r="F87" s="99"/>
      <c r="G87" s="99"/>
      <c r="H87" s="388"/>
      <c r="I87" s="99"/>
      <c r="J87" s="77"/>
      <c r="K87" s="77"/>
      <c r="L87" s="77"/>
      <c r="M87" s="77"/>
      <c r="N87" s="77"/>
      <c r="O87" s="77"/>
    </row>
    <row r="88" spans="1:15" ht="15" x14ac:dyDescent="0.25">
      <c r="A88" s="99"/>
      <c r="B88" s="99"/>
      <c r="C88" s="99"/>
      <c r="D88" s="99"/>
      <c r="E88" s="99"/>
      <c r="F88" s="99"/>
      <c r="G88" s="99"/>
      <c r="H88" s="388"/>
      <c r="I88" s="99"/>
      <c r="J88" s="77"/>
      <c r="K88" s="77"/>
      <c r="L88" s="77"/>
      <c r="M88" s="77"/>
      <c r="N88" s="77"/>
      <c r="O88" s="77"/>
    </row>
    <row r="89" spans="1:15" ht="15" x14ac:dyDescent="0.25">
      <c r="A89" s="99"/>
      <c r="B89" s="99"/>
      <c r="C89" s="99"/>
      <c r="D89" s="99"/>
      <c r="E89" s="99"/>
      <c r="F89" s="99"/>
      <c r="G89" s="99"/>
      <c r="H89" s="388"/>
      <c r="I89" s="99"/>
      <c r="J89" s="77"/>
      <c r="K89" s="77"/>
      <c r="L89" s="77"/>
      <c r="M89" s="77"/>
      <c r="N89" s="77"/>
      <c r="O89" s="77"/>
    </row>
    <row r="90" spans="1:15" ht="15" x14ac:dyDescent="0.25">
      <c r="A90" s="99"/>
      <c r="B90" s="99"/>
      <c r="C90" s="99"/>
      <c r="D90" s="99"/>
      <c r="E90" s="99"/>
      <c r="F90" s="99"/>
      <c r="G90" s="99"/>
      <c r="H90" s="388"/>
      <c r="I90" s="99"/>
      <c r="J90" s="77"/>
      <c r="K90" s="77"/>
      <c r="L90" s="77"/>
      <c r="M90" s="77"/>
      <c r="N90" s="77"/>
      <c r="O90" s="77"/>
    </row>
    <row r="91" spans="1:15" ht="15" x14ac:dyDescent="0.25">
      <c r="A91" s="99"/>
      <c r="B91" s="99"/>
      <c r="C91" s="99"/>
      <c r="D91" s="99"/>
      <c r="E91" s="99"/>
      <c r="F91" s="99"/>
      <c r="G91" s="99"/>
      <c r="H91" s="388"/>
      <c r="I91" s="99"/>
      <c r="J91" s="77"/>
      <c r="K91" s="77"/>
      <c r="L91" s="77"/>
      <c r="M91" s="77"/>
      <c r="N91" s="77"/>
      <c r="O91" s="77"/>
    </row>
    <row r="92" spans="1:15" ht="15" x14ac:dyDescent="0.25">
      <c r="A92" s="99"/>
      <c r="B92" s="99"/>
      <c r="C92" s="99"/>
      <c r="D92" s="99"/>
      <c r="E92" s="99"/>
      <c r="F92" s="99"/>
      <c r="G92" s="99"/>
      <c r="H92" s="388"/>
      <c r="I92" s="99"/>
      <c r="J92" s="77"/>
      <c r="K92" s="77"/>
      <c r="L92" s="77"/>
      <c r="M92" s="77"/>
      <c r="N92" s="77"/>
      <c r="O92" s="77"/>
    </row>
    <row r="93" spans="1:15" ht="15" x14ac:dyDescent="0.25">
      <c r="A93" s="99"/>
      <c r="B93" s="99"/>
      <c r="C93" s="99"/>
      <c r="D93" s="99"/>
      <c r="E93" s="99"/>
      <c r="F93" s="99"/>
      <c r="G93" s="99"/>
      <c r="H93" s="388"/>
      <c r="I93" s="99"/>
      <c r="J93" s="77"/>
      <c r="K93" s="77"/>
      <c r="L93" s="77"/>
      <c r="M93" s="77"/>
      <c r="N93" s="77"/>
      <c r="O93" s="77"/>
    </row>
    <row r="94" spans="1:15" ht="15" x14ac:dyDescent="0.25">
      <c r="A94" s="99"/>
      <c r="B94" s="99"/>
      <c r="C94" s="99"/>
      <c r="D94" s="99"/>
      <c r="E94" s="99"/>
      <c r="F94" s="99"/>
      <c r="G94" s="99"/>
      <c r="H94" s="388"/>
      <c r="I94" s="99"/>
      <c r="J94" s="77"/>
      <c r="K94" s="77"/>
      <c r="L94" s="77"/>
      <c r="M94" s="77"/>
      <c r="N94" s="77"/>
      <c r="O94" s="77"/>
    </row>
    <row r="95" spans="1:15" ht="15" x14ac:dyDescent="0.25">
      <c r="A95" s="99"/>
      <c r="B95" s="99"/>
      <c r="C95" s="99"/>
      <c r="D95" s="99"/>
      <c r="E95" s="99"/>
      <c r="F95" s="99"/>
      <c r="G95" s="99"/>
      <c r="H95" s="388"/>
      <c r="I95" s="99"/>
      <c r="J95" s="77"/>
      <c r="K95" s="77"/>
      <c r="L95" s="77"/>
      <c r="M95" s="77"/>
      <c r="N95" s="77"/>
      <c r="O95" s="77"/>
    </row>
    <row r="96" spans="1:15" ht="15" x14ac:dyDescent="0.25">
      <c r="A96" s="99"/>
      <c r="B96" s="99"/>
      <c r="C96" s="99"/>
      <c r="D96" s="99"/>
      <c r="E96" s="99"/>
      <c r="F96" s="99"/>
      <c r="G96" s="99"/>
      <c r="H96" s="388"/>
      <c r="I96" s="99"/>
      <c r="J96" s="77"/>
      <c r="K96" s="77"/>
      <c r="L96" s="77"/>
      <c r="M96" s="77"/>
      <c r="N96" s="77"/>
      <c r="O96" s="77"/>
    </row>
    <row r="97" spans="1:15" ht="15" x14ac:dyDescent="0.25">
      <c r="A97" s="99"/>
      <c r="B97" s="99"/>
      <c r="C97" s="99"/>
      <c r="D97" s="99"/>
      <c r="E97" s="99"/>
      <c r="F97" s="99"/>
      <c r="G97" s="99"/>
      <c r="H97" s="388"/>
      <c r="I97" s="99"/>
      <c r="J97" s="77"/>
      <c r="K97" s="77"/>
      <c r="L97" s="77"/>
      <c r="M97" s="77"/>
      <c r="N97" s="77"/>
      <c r="O97" s="77"/>
    </row>
    <row r="98" spans="1:15" ht="15" x14ac:dyDescent="0.25">
      <c r="A98" s="99"/>
      <c r="B98" s="99"/>
      <c r="C98" s="99"/>
      <c r="D98" s="99"/>
      <c r="E98" s="99"/>
      <c r="F98" s="99"/>
      <c r="G98" s="99"/>
      <c r="H98" s="388"/>
      <c r="I98" s="99"/>
      <c r="J98" s="77"/>
      <c r="K98" s="77"/>
      <c r="L98" s="77"/>
      <c r="M98" s="77"/>
      <c r="N98" s="77"/>
      <c r="O98" s="77"/>
    </row>
    <row r="99" spans="1:15" ht="15" x14ac:dyDescent="0.25">
      <c r="A99" s="99"/>
      <c r="B99" s="99"/>
      <c r="C99" s="99"/>
      <c r="D99" s="99"/>
      <c r="E99" s="99"/>
      <c r="F99" s="99"/>
      <c r="G99" s="99"/>
      <c r="H99" s="388"/>
      <c r="I99" s="99"/>
      <c r="J99" s="77"/>
      <c r="K99" s="77"/>
      <c r="L99" s="77"/>
      <c r="M99" s="77"/>
      <c r="N99" s="77"/>
      <c r="O99" s="77"/>
    </row>
    <row r="100" spans="1:15" ht="15.6" thickBot="1" x14ac:dyDescent="0.3">
      <c r="A100" s="99"/>
      <c r="B100" s="99"/>
      <c r="C100" s="99"/>
      <c r="D100" s="99"/>
      <c r="E100" s="99"/>
      <c r="F100" s="99"/>
      <c r="G100" s="99"/>
      <c r="H100" s="388"/>
      <c r="I100" s="99"/>
      <c r="J100" s="77"/>
      <c r="K100" s="77"/>
      <c r="L100" s="77"/>
      <c r="M100" s="77"/>
      <c r="N100" s="77"/>
      <c r="O100" s="77"/>
    </row>
    <row r="101" spans="1:15" ht="15" x14ac:dyDescent="0.25">
      <c r="A101" s="894" t="s">
        <v>195</v>
      </c>
      <c r="B101" s="895"/>
      <c r="C101" s="895"/>
      <c r="D101" s="895"/>
      <c r="E101" s="895"/>
      <c r="F101" s="896"/>
      <c r="G101" s="99"/>
      <c r="H101" s="388"/>
      <c r="I101" s="99"/>
      <c r="J101" s="77"/>
      <c r="K101" s="77"/>
      <c r="L101" s="77"/>
      <c r="M101" s="77"/>
      <c r="N101" s="77"/>
      <c r="O101" s="77"/>
    </row>
    <row r="102" spans="1:15" ht="15.6" thickBot="1" x14ac:dyDescent="0.3">
      <c r="A102" s="897"/>
      <c r="B102" s="898"/>
      <c r="C102" s="898"/>
      <c r="D102" s="898"/>
      <c r="E102" s="898"/>
      <c r="F102" s="899"/>
      <c r="G102" s="99"/>
      <c r="H102" s="388"/>
      <c r="I102" s="99"/>
      <c r="J102" s="77"/>
      <c r="K102" s="77"/>
      <c r="L102" s="77"/>
      <c r="M102" s="77"/>
      <c r="N102" s="77"/>
      <c r="O102" s="77"/>
    </row>
    <row r="103" spans="1:15" ht="15" x14ac:dyDescent="0.25">
      <c r="A103" s="162" t="s">
        <v>5</v>
      </c>
      <c r="B103" s="161" t="s">
        <v>6</v>
      </c>
      <c r="C103" s="161" t="s">
        <v>13</v>
      </c>
      <c r="D103" s="161" t="s">
        <v>82</v>
      </c>
      <c r="E103" s="161" t="s">
        <v>115</v>
      </c>
      <c r="F103" s="163" t="s">
        <v>116</v>
      </c>
      <c r="G103" s="99"/>
      <c r="H103" s="388"/>
      <c r="I103" s="99"/>
      <c r="J103" s="77"/>
      <c r="K103" s="77"/>
      <c r="L103" s="77"/>
      <c r="M103" s="77"/>
      <c r="N103" s="77"/>
      <c r="O103" s="77"/>
    </row>
    <row r="104" spans="1:15" ht="15" x14ac:dyDescent="0.25">
      <c r="A104" s="396" t="s">
        <v>239</v>
      </c>
      <c r="B104" s="106"/>
      <c r="C104" s="106"/>
      <c r="D104" s="106"/>
      <c r="E104" s="106"/>
      <c r="F104" s="107"/>
      <c r="G104" s="99"/>
      <c r="H104" s="388"/>
      <c r="I104" s="99"/>
      <c r="J104" s="77"/>
      <c r="K104" s="77"/>
      <c r="L104" s="77"/>
      <c r="M104" s="77"/>
      <c r="N104" s="77"/>
      <c r="O104" s="77"/>
    </row>
    <row r="105" spans="1:15" ht="30" x14ac:dyDescent="0.25">
      <c r="A105" s="396" t="s">
        <v>91</v>
      </c>
      <c r="B105" s="106" t="s">
        <v>190</v>
      </c>
      <c r="C105" s="106" t="s">
        <v>18</v>
      </c>
      <c r="D105" s="106" t="s">
        <v>8</v>
      </c>
      <c r="E105" s="106" t="s">
        <v>36</v>
      </c>
      <c r="F105" s="107" t="s">
        <v>29</v>
      </c>
      <c r="G105" s="99"/>
      <c r="H105" s="388"/>
      <c r="I105" s="99"/>
      <c r="J105" s="77"/>
      <c r="K105" s="77"/>
      <c r="L105" s="77"/>
      <c r="M105" s="77"/>
      <c r="N105" s="77"/>
      <c r="O105" s="77"/>
    </row>
    <row r="106" spans="1:15" ht="30" x14ac:dyDescent="0.25">
      <c r="A106" s="397" t="s">
        <v>27</v>
      </c>
      <c r="B106" s="106" t="s">
        <v>192</v>
      </c>
      <c r="C106" s="106" t="s">
        <v>15</v>
      </c>
      <c r="D106" s="106" t="s">
        <v>84</v>
      </c>
      <c r="E106" s="106" t="s">
        <v>35</v>
      </c>
      <c r="F106" s="107" t="s">
        <v>28</v>
      </c>
      <c r="G106" s="99"/>
      <c r="H106" s="388"/>
      <c r="I106" s="99"/>
      <c r="J106" s="77"/>
      <c r="K106" s="77"/>
      <c r="L106" s="77"/>
      <c r="M106" s="77"/>
      <c r="N106" s="77"/>
      <c r="O106" s="77"/>
    </row>
    <row r="107" spans="1:15" ht="30" x14ac:dyDescent="0.25">
      <c r="A107" s="397" t="s">
        <v>125</v>
      </c>
      <c r="B107" s="106" t="s">
        <v>191</v>
      </c>
      <c r="C107" s="106" t="s">
        <v>16</v>
      </c>
      <c r="D107" s="106"/>
      <c r="E107" s="106" t="s">
        <v>46</v>
      </c>
      <c r="F107" s="107" t="s">
        <v>34</v>
      </c>
      <c r="G107" s="99"/>
      <c r="H107" s="388"/>
      <c r="I107" s="99"/>
      <c r="J107" s="77"/>
      <c r="K107" s="77"/>
      <c r="L107" s="77"/>
      <c r="M107" s="77"/>
      <c r="N107" s="77"/>
      <c r="O107" s="77"/>
    </row>
    <row r="108" spans="1:15" ht="15" x14ac:dyDescent="0.25">
      <c r="A108" s="396" t="s">
        <v>128</v>
      </c>
      <c r="B108" s="106" t="s">
        <v>193</v>
      </c>
      <c r="C108" s="106" t="s">
        <v>20</v>
      </c>
      <c r="D108" s="106"/>
      <c r="E108" s="106" t="s">
        <v>44</v>
      </c>
      <c r="F108" s="107" t="s">
        <v>142</v>
      </c>
      <c r="G108" s="99"/>
      <c r="H108" s="388"/>
      <c r="I108" s="99"/>
      <c r="J108" s="77"/>
      <c r="K108" s="77"/>
      <c r="L108" s="77"/>
      <c r="M108" s="77"/>
      <c r="N108" s="77"/>
      <c r="O108" s="77"/>
    </row>
    <row r="109" spans="1:15" ht="15" x14ac:dyDescent="0.25">
      <c r="A109" s="397" t="s">
        <v>326</v>
      </c>
      <c r="B109" s="106"/>
      <c r="C109" s="106" t="s">
        <v>19</v>
      </c>
      <c r="D109" s="106"/>
      <c r="E109" s="106" t="s">
        <v>37</v>
      </c>
      <c r="F109" s="107" t="s">
        <v>30</v>
      </c>
      <c r="G109" s="99"/>
      <c r="H109" s="388"/>
      <c r="I109" s="99"/>
      <c r="J109" s="77"/>
      <c r="K109" s="77"/>
      <c r="L109" s="77"/>
      <c r="M109" s="77"/>
      <c r="N109" s="77"/>
      <c r="O109" s="77"/>
    </row>
    <row r="110" spans="1:15" ht="30" x14ac:dyDescent="0.25">
      <c r="A110" s="396" t="s">
        <v>308</v>
      </c>
      <c r="B110" s="106"/>
      <c r="C110" s="106" t="s">
        <v>21</v>
      </c>
      <c r="D110" s="106"/>
      <c r="E110" s="106" t="s">
        <v>117</v>
      </c>
      <c r="F110" s="107" t="s">
        <v>121</v>
      </c>
      <c r="G110" s="99"/>
      <c r="H110" s="388"/>
      <c r="I110" s="99"/>
      <c r="J110" s="77"/>
      <c r="K110" s="77"/>
      <c r="L110" s="77"/>
      <c r="M110" s="77"/>
      <c r="N110" s="77"/>
      <c r="O110" s="77"/>
    </row>
    <row r="111" spans="1:15" ht="30" x14ac:dyDescent="0.25">
      <c r="A111" s="396" t="s">
        <v>309</v>
      </c>
      <c r="B111" s="106"/>
      <c r="C111" s="106" t="s">
        <v>14</v>
      </c>
      <c r="D111" s="106"/>
      <c r="E111" s="106" t="s">
        <v>42</v>
      </c>
      <c r="F111" s="107" t="s">
        <v>40</v>
      </c>
      <c r="G111" s="99"/>
      <c r="H111" s="388"/>
      <c r="I111" s="99"/>
      <c r="J111" s="77"/>
      <c r="K111" s="77"/>
      <c r="L111" s="77"/>
      <c r="M111" s="77"/>
      <c r="N111" s="77"/>
      <c r="O111" s="77"/>
    </row>
    <row r="112" spans="1:15" ht="30" x14ac:dyDescent="0.25">
      <c r="A112" s="396" t="s">
        <v>307</v>
      </c>
      <c r="B112" s="106"/>
      <c r="C112" s="106" t="s">
        <v>17</v>
      </c>
      <c r="D112" s="106"/>
      <c r="E112" s="106" t="s">
        <v>38</v>
      </c>
      <c r="F112" s="107" t="s">
        <v>31</v>
      </c>
      <c r="G112" s="99"/>
      <c r="H112" s="388"/>
      <c r="I112" s="99"/>
      <c r="J112" s="77"/>
      <c r="K112" s="77"/>
      <c r="L112" s="77"/>
      <c r="M112" s="77"/>
      <c r="N112" s="77"/>
      <c r="O112" s="77"/>
    </row>
    <row r="113" spans="1:15" ht="15" x14ac:dyDescent="0.25">
      <c r="A113" s="397" t="s">
        <v>4</v>
      </c>
      <c r="B113" s="106"/>
      <c r="C113" s="106"/>
      <c r="D113" s="106"/>
      <c r="E113" s="106" t="s">
        <v>41</v>
      </c>
      <c r="F113" s="107" t="s">
        <v>39</v>
      </c>
      <c r="G113" s="99"/>
      <c r="H113" s="388"/>
      <c r="I113" s="99"/>
      <c r="J113" s="77"/>
      <c r="K113" s="77"/>
      <c r="L113" s="77"/>
      <c r="M113" s="77"/>
      <c r="N113" s="77"/>
      <c r="O113" s="77"/>
    </row>
    <row r="114" spans="1:15" ht="15" x14ac:dyDescent="0.25">
      <c r="A114" s="397" t="s">
        <v>126</v>
      </c>
      <c r="B114" s="106"/>
      <c r="C114" s="106"/>
      <c r="D114" s="106"/>
      <c r="E114" s="106" t="s">
        <v>43</v>
      </c>
      <c r="F114" s="107" t="s">
        <v>120</v>
      </c>
      <c r="G114" s="99"/>
      <c r="H114" s="388"/>
      <c r="I114" s="99"/>
      <c r="J114" s="77"/>
      <c r="K114" s="77"/>
      <c r="L114" s="77"/>
      <c r="M114" s="77"/>
      <c r="N114" s="77"/>
      <c r="O114" s="77"/>
    </row>
    <row r="115" spans="1:15" x14ac:dyDescent="0.25">
      <c r="A115" s="2" t="s">
        <v>238</v>
      </c>
      <c r="B115" s="2"/>
      <c r="C115" s="2"/>
      <c r="D115" s="2"/>
      <c r="E115" s="2" t="s">
        <v>118</v>
      </c>
      <c r="F115" s="2" t="s">
        <v>122</v>
      </c>
      <c r="G115" s="2"/>
      <c r="H115" s="3"/>
      <c r="I115" s="2"/>
    </row>
    <row r="116" spans="1:15" x14ac:dyDescent="0.25">
      <c r="A116" s="2" t="s">
        <v>183</v>
      </c>
      <c r="B116" s="2"/>
      <c r="C116" s="2"/>
      <c r="D116" s="2"/>
      <c r="E116" s="2" t="s">
        <v>45</v>
      </c>
      <c r="F116" s="2" t="s">
        <v>32</v>
      </c>
      <c r="G116" s="2"/>
      <c r="H116" s="3"/>
      <c r="I116" s="2"/>
    </row>
    <row r="117" spans="1:15" ht="15" x14ac:dyDescent="0.25">
      <c r="A117" s="2"/>
      <c r="B117" s="2"/>
      <c r="C117" s="2"/>
      <c r="D117" s="2"/>
      <c r="E117" s="106" t="s">
        <v>142</v>
      </c>
      <c r="F117" s="2"/>
      <c r="G117" s="2"/>
      <c r="H117" s="3"/>
      <c r="I117" s="2"/>
    </row>
    <row r="118" spans="1:15" x14ac:dyDescent="0.25">
      <c r="A118" s="2"/>
      <c r="B118" s="2"/>
      <c r="C118" s="2"/>
      <c r="D118" s="2"/>
      <c r="E118" s="2"/>
      <c r="F118" s="2"/>
      <c r="G118" s="2"/>
      <c r="H118" s="3"/>
      <c r="I118" s="2"/>
    </row>
    <row r="119" spans="1:15" x14ac:dyDescent="0.25">
      <c r="A119" s="2"/>
      <c r="B119" s="2"/>
      <c r="C119" s="2"/>
      <c r="D119" s="2"/>
      <c r="E119" s="2"/>
      <c r="F119" s="2"/>
      <c r="G119" s="2"/>
      <c r="H119" s="3"/>
      <c r="I119" s="2"/>
    </row>
    <row r="120" spans="1:15" x14ac:dyDescent="0.25">
      <c r="A120" s="2"/>
      <c r="B120" s="2"/>
      <c r="C120" s="2"/>
      <c r="D120" s="2"/>
      <c r="E120" s="2"/>
      <c r="F120" s="2"/>
      <c r="G120" s="2"/>
      <c r="H120" s="3"/>
      <c r="I120" s="2"/>
    </row>
    <row r="121" spans="1:15" x14ac:dyDescent="0.25">
      <c r="A121" s="2"/>
      <c r="B121" s="2"/>
      <c r="C121" s="2"/>
      <c r="D121" s="2"/>
      <c r="E121" s="2"/>
      <c r="F121" s="2"/>
      <c r="G121" s="2"/>
      <c r="H121" s="3"/>
      <c r="I121" s="2"/>
    </row>
    <row r="122" spans="1:15" x14ac:dyDescent="0.25">
      <c r="A122" s="2"/>
      <c r="B122" s="2"/>
      <c r="C122" s="2"/>
      <c r="D122" s="2"/>
      <c r="E122" s="2"/>
      <c r="F122" s="2"/>
      <c r="G122" s="2"/>
      <c r="H122" s="3"/>
      <c r="I122" s="2"/>
    </row>
    <row r="123" spans="1:15" x14ac:dyDescent="0.25">
      <c r="A123" s="2"/>
      <c r="B123" s="2"/>
      <c r="C123" s="2"/>
      <c r="D123" s="2"/>
      <c r="E123" s="2"/>
      <c r="F123" s="2"/>
      <c r="G123" s="2"/>
      <c r="H123" s="3"/>
      <c r="I123" s="2"/>
    </row>
    <row r="124" spans="1:15" x14ac:dyDescent="0.25">
      <c r="A124" s="2"/>
      <c r="B124" s="2"/>
      <c r="C124" s="2"/>
      <c r="D124" s="2"/>
      <c r="E124" s="2"/>
      <c r="F124" s="2"/>
      <c r="G124" s="2"/>
      <c r="H124" s="3"/>
      <c r="I124" s="2"/>
    </row>
    <row r="125" spans="1:15" x14ac:dyDescent="0.25">
      <c r="A125" s="2"/>
      <c r="B125" s="2"/>
      <c r="C125" s="2"/>
      <c r="D125" s="2"/>
      <c r="E125" s="2"/>
      <c r="F125" s="2"/>
      <c r="G125" s="2"/>
      <c r="H125" s="3"/>
      <c r="I125" s="2"/>
    </row>
    <row r="126" spans="1:15" x14ac:dyDescent="0.25">
      <c r="A126" s="2"/>
      <c r="B126" s="2"/>
      <c r="C126" s="2"/>
      <c r="D126" s="2"/>
      <c r="E126" s="2"/>
      <c r="F126" s="2"/>
      <c r="G126" s="2"/>
      <c r="H126" s="3"/>
      <c r="I126" s="2"/>
    </row>
    <row r="127" spans="1:15" x14ac:dyDescent="0.25">
      <c r="A127" s="2"/>
      <c r="B127" s="2"/>
      <c r="C127" s="2"/>
      <c r="D127" s="2"/>
      <c r="E127" s="2"/>
      <c r="F127" s="2"/>
      <c r="G127" s="2"/>
      <c r="H127" s="3"/>
      <c r="I127" s="2"/>
    </row>
    <row r="128" spans="1:15" x14ac:dyDescent="0.25">
      <c r="A128" s="2"/>
      <c r="B128" s="2"/>
      <c r="C128" s="2"/>
      <c r="D128" s="2"/>
      <c r="E128" s="2"/>
      <c r="F128" s="2"/>
      <c r="G128" s="2"/>
      <c r="H128" s="3"/>
      <c r="I128" s="2"/>
    </row>
    <row r="129" spans="1:9" x14ac:dyDescent="0.25">
      <c r="A129" s="2"/>
      <c r="B129" s="2"/>
      <c r="C129" s="2"/>
      <c r="D129" s="2"/>
      <c r="E129" s="2"/>
      <c r="F129" s="2"/>
      <c r="G129" s="2"/>
      <c r="H129" s="3"/>
      <c r="I129" s="2"/>
    </row>
  </sheetData>
  <mergeCells count="7">
    <mergeCell ref="A101:F102"/>
    <mergeCell ref="A1:O1"/>
    <mergeCell ref="A3:O3"/>
    <mergeCell ref="A11:O11"/>
    <mergeCell ref="A35:O35"/>
    <mergeCell ref="A47:O47"/>
    <mergeCell ref="A48:F48"/>
  </mergeCells>
  <dataValidations count="7">
    <dataValidation type="list" allowBlank="1" showInputMessage="1" showErrorMessage="1" sqref="F5:F10 F14:F18 F37 F22:F31" xr:uid="{00000000-0002-0000-1500-000000000000}">
      <formula1>$E$110:$E$124</formula1>
    </dataValidation>
    <dataValidation type="list" allowBlank="1" showInputMessage="1" showErrorMessage="1" sqref="G5:G10 G14:G18 G37 G22:G31" xr:uid="{00000000-0002-0000-1500-000001000000}">
      <formula1>$C$110:$C$118</formula1>
    </dataValidation>
    <dataValidation type="list" allowBlank="1" showInputMessage="1" showErrorMessage="1" sqref="A5:A10 A37 A14:A18 A22:A31" xr:uid="{00000000-0002-0000-1500-000002000000}">
      <formula1>$D$110:$D$112</formula1>
    </dataValidation>
    <dataValidation type="list" allowBlank="1" showInputMessage="1" showErrorMessage="1" sqref="B5:B10 B22:B31 B14:B18 B37" xr:uid="{00000000-0002-0000-1500-000003000000}">
      <formula1>$B$110:$B$114</formula1>
    </dataValidation>
    <dataValidation type="list" allowBlank="1" showInputMessage="1" showErrorMessage="1" sqref="E5:E10 E22:E31 E37 E14:E18" xr:uid="{00000000-0002-0000-1500-000004000000}">
      <formula1>$F$110:$F$124</formula1>
    </dataValidation>
    <dataValidation type="list" allowBlank="1" showInputMessage="1" showErrorMessage="1" sqref="C22:D31 C14:D18 C37:D37 C5:D10" xr:uid="{00000000-0002-0000-1500-000005000000}">
      <formula1>$A$110:$A$122</formula1>
    </dataValidation>
    <dataValidation type="list" allowBlank="1" showInputMessage="1" showErrorMessage="1" sqref="E40 C39:D46" xr:uid="{00000000-0002-0000-1500-000006000000}">
      <formula1>#REF!</formula1>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1">
    <tabColor rgb="FFFF5050"/>
  </sheetPr>
  <dimension ref="A1:EA129"/>
  <sheetViews>
    <sheetView topLeftCell="F1" zoomScale="70" zoomScaleNormal="70" workbookViewId="0">
      <selection activeCell="K6" sqref="K6"/>
    </sheetView>
  </sheetViews>
  <sheetFormatPr defaultColWidth="8.77734375" defaultRowHeight="13.2" x14ac:dyDescent="0.25"/>
  <cols>
    <col min="1" max="15" width="26.44140625" customWidth="1"/>
  </cols>
  <sheetData>
    <row r="1" spans="1:131" ht="18" thickBot="1" x14ac:dyDescent="0.3">
      <c r="A1" s="900" t="s">
        <v>310</v>
      </c>
      <c r="B1" s="900"/>
      <c r="C1" s="900"/>
      <c r="D1" s="900"/>
      <c r="E1" s="900"/>
      <c r="F1" s="900"/>
      <c r="G1" s="900"/>
      <c r="H1" s="900"/>
      <c r="I1" s="900"/>
      <c r="J1" s="900"/>
      <c r="K1" s="900"/>
      <c r="L1" s="900"/>
      <c r="M1" s="900"/>
      <c r="N1" s="900"/>
      <c r="O1" s="900"/>
    </row>
    <row r="2" spans="1:131" ht="17.399999999999999" x14ac:dyDescent="0.25">
      <c r="A2" s="495" t="s">
        <v>188</v>
      </c>
      <c r="B2" s="175"/>
      <c r="C2" s="495"/>
      <c r="D2" s="495"/>
      <c r="E2" s="495"/>
      <c r="F2" s="495"/>
      <c r="G2" s="495"/>
      <c r="H2" s="381"/>
      <c r="I2" s="495"/>
      <c r="J2" s="399"/>
      <c r="K2" s="399"/>
      <c r="L2" s="399"/>
      <c r="M2" s="399"/>
      <c r="N2" s="399"/>
      <c r="O2" s="399"/>
    </row>
    <row r="3" spans="1:131" ht="15" x14ac:dyDescent="0.25">
      <c r="A3" s="901" t="s">
        <v>204</v>
      </c>
      <c r="B3" s="902"/>
      <c r="C3" s="902"/>
      <c r="D3" s="902"/>
      <c r="E3" s="902"/>
      <c r="F3" s="902"/>
      <c r="G3" s="902"/>
      <c r="H3" s="902"/>
      <c r="I3" s="902"/>
      <c r="J3" s="902"/>
      <c r="K3" s="902"/>
      <c r="L3" s="902"/>
      <c r="M3" s="902"/>
      <c r="N3" s="902"/>
      <c r="O3" s="903"/>
    </row>
    <row r="4" spans="1:131" ht="60" x14ac:dyDescent="0.25">
      <c r="A4" s="176" t="s">
        <v>89</v>
      </c>
      <c r="B4" s="176" t="s">
        <v>90</v>
      </c>
      <c r="C4" s="177" t="s">
        <v>0</v>
      </c>
      <c r="D4" s="177" t="s">
        <v>124</v>
      </c>
      <c r="E4" s="176" t="s">
        <v>143</v>
      </c>
      <c r="F4" s="176" t="s">
        <v>144</v>
      </c>
      <c r="G4" s="176" t="s">
        <v>13</v>
      </c>
      <c r="H4" s="382" t="s">
        <v>88</v>
      </c>
      <c r="I4" s="176" t="s">
        <v>12</v>
      </c>
      <c r="J4" s="400" t="s">
        <v>158</v>
      </c>
      <c r="K4" s="400" t="s">
        <v>148</v>
      </c>
      <c r="L4" s="400" t="s">
        <v>180</v>
      </c>
      <c r="M4" s="400" t="s">
        <v>104</v>
      </c>
      <c r="N4" s="400" t="s">
        <v>179</v>
      </c>
      <c r="O4" s="400" t="s">
        <v>205</v>
      </c>
    </row>
    <row r="5" spans="1:131" ht="30" x14ac:dyDescent="0.25">
      <c r="A5" s="482" t="s">
        <v>84</v>
      </c>
      <c r="B5" s="482" t="s">
        <v>3</v>
      </c>
      <c r="C5" s="482" t="s">
        <v>307</v>
      </c>
      <c r="D5" s="482" t="s">
        <v>307</v>
      </c>
      <c r="E5" s="327" t="s">
        <v>120</v>
      </c>
      <c r="F5" s="457" t="s">
        <v>44</v>
      </c>
      <c r="G5" s="482" t="s">
        <v>14</v>
      </c>
      <c r="H5" s="483">
        <v>44423</v>
      </c>
      <c r="I5" s="482" t="s">
        <v>23</v>
      </c>
      <c r="J5" s="350">
        <v>143.66999999999999</v>
      </c>
      <c r="K5" s="350">
        <f>'Mar13'!K5</f>
        <v>118.16</v>
      </c>
      <c r="L5" s="350">
        <f t="shared" ref="L5:L8" si="0">N5-M5</f>
        <v>17.250798419999999</v>
      </c>
      <c r="M5" s="350">
        <f t="shared" ref="M5:N8" si="1">-DZ5/1000000</f>
        <v>0.89437905000000006</v>
      </c>
      <c r="N5" s="350">
        <f t="shared" si="1"/>
        <v>18.14517747</v>
      </c>
      <c r="O5" s="88"/>
      <c r="DZ5">
        <v>-894379.05</v>
      </c>
      <c r="EA5">
        <v>-18145177.469999999</v>
      </c>
    </row>
    <row r="6" spans="1:131" ht="30" x14ac:dyDescent="0.25">
      <c r="A6" s="485" t="s">
        <v>84</v>
      </c>
      <c r="B6" s="485" t="s">
        <v>3</v>
      </c>
      <c r="C6" s="485" t="s">
        <v>307</v>
      </c>
      <c r="D6" s="485" t="s">
        <v>307</v>
      </c>
      <c r="E6" s="329" t="s">
        <v>120</v>
      </c>
      <c r="F6" s="458" t="s">
        <v>44</v>
      </c>
      <c r="G6" s="485" t="s">
        <v>14</v>
      </c>
      <c r="H6" s="93">
        <v>44576</v>
      </c>
      <c r="I6" s="485" t="s">
        <v>24</v>
      </c>
      <c r="J6" s="351">
        <v>27.4</v>
      </c>
      <c r="K6" s="351">
        <f>'Mar13'!K6</f>
        <v>25.83</v>
      </c>
      <c r="L6" s="351">
        <f t="shared" si="0"/>
        <v>4.3581383599999999</v>
      </c>
      <c r="M6" s="351">
        <f t="shared" si="1"/>
        <v>7.655938000000001E-2</v>
      </c>
      <c r="N6" s="351">
        <f t="shared" si="1"/>
        <v>4.4346977399999998</v>
      </c>
      <c r="O6" s="96"/>
      <c r="DZ6">
        <v>-76559.38</v>
      </c>
      <c r="EA6">
        <v>-4434697.74</v>
      </c>
    </row>
    <row r="7" spans="1:131" ht="30" x14ac:dyDescent="0.25">
      <c r="A7" s="482" t="s">
        <v>84</v>
      </c>
      <c r="B7" s="482" t="s">
        <v>3</v>
      </c>
      <c r="C7" s="482" t="s">
        <v>308</v>
      </c>
      <c r="D7" s="482" t="s">
        <v>308</v>
      </c>
      <c r="E7" s="327" t="s">
        <v>39</v>
      </c>
      <c r="F7" s="457" t="s">
        <v>38</v>
      </c>
      <c r="G7" s="482" t="s">
        <v>14</v>
      </c>
      <c r="H7" s="483">
        <v>44576</v>
      </c>
      <c r="I7" s="482" t="s">
        <v>24</v>
      </c>
      <c r="J7" s="350">
        <v>26.85</v>
      </c>
      <c r="K7" s="350">
        <f>'Mar13'!K7</f>
        <v>25.38</v>
      </c>
      <c r="L7" s="350">
        <f t="shared" si="0"/>
        <v>4.2718772899999999</v>
      </c>
      <c r="M7" s="350">
        <f t="shared" si="1"/>
        <v>7.521077000000001E-2</v>
      </c>
      <c r="N7" s="350">
        <f t="shared" si="1"/>
        <v>4.3470880599999999</v>
      </c>
      <c r="O7" s="88"/>
      <c r="DZ7">
        <v>-75210.77</v>
      </c>
      <c r="EA7">
        <v>-4347088.0599999996</v>
      </c>
    </row>
    <row r="8" spans="1:131" ht="30" x14ac:dyDescent="0.25">
      <c r="A8" s="485" t="s">
        <v>84</v>
      </c>
      <c r="B8" s="485" t="s">
        <v>3</v>
      </c>
      <c r="C8" s="485" t="s">
        <v>309</v>
      </c>
      <c r="D8" s="485" t="s">
        <v>125</v>
      </c>
      <c r="E8" s="329" t="s">
        <v>39</v>
      </c>
      <c r="F8" s="458" t="s">
        <v>42</v>
      </c>
      <c r="G8" s="485" t="s">
        <v>14</v>
      </c>
      <c r="H8" s="93">
        <v>46296</v>
      </c>
      <c r="I8" s="485" t="s">
        <v>25</v>
      </c>
      <c r="J8" s="351">
        <v>40.880000000000003</v>
      </c>
      <c r="K8" s="351">
        <f>'Mar13'!K8</f>
        <v>37.659999999999997</v>
      </c>
      <c r="L8" s="351">
        <f t="shared" si="0"/>
        <v>6.4906965900000007</v>
      </c>
      <c r="M8" s="351">
        <f t="shared" si="1"/>
        <v>9.9610980000000002E-2</v>
      </c>
      <c r="N8" s="351">
        <f t="shared" si="1"/>
        <v>6.5903075700000002</v>
      </c>
      <c r="O8" s="96"/>
      <c r="DZ8">
        <v>-99610.98</v>
      </c>
      <c r="EA8">
        <v>-6590307.5700000003</v>
      </c>
    </row>
    <row r="9" spans="1:131" ht="15" x14ac:dyDescent="0.25">
      <c r="A9" s="111"/>
      <c r="B9" s="111"/>
      <c r="C9" s="111"/>
      <c r="D9" s="111"/>
      <c r="E9" s="123"/>
      <c r="F9" s="111"/>
      <c r="G9" s="111"/>
      <c r="H9" s="114"/>
      <c r="I9" s="111"/>
      <c r="J9" s="352"/>
      <c r="K9" s="352"/>
      <c r="L9" s="352"/>
      <c r="M9" s="352"/>
      <c r="N9" s="353"/>
      <c r="O9" s="353"/>
    </row>
    <row r="10" spans="1:131" ht="15" x14ac:dyDescent="0.25">
      <c r="A10" s="485"/>
      <c r="B10" s="485"/>
      <c r="C10" s="485"/>
      <c r="D10" s="485"/>
      <c r="E10" s="329"/>
      <c r="F10" s="485"/>
      <c r="G10" s="485"/>
      <c r="H10" s="93"/>
      <c r="I10" s="485"/>
      <c r="J10" s="351"/>
      <c r="K10" s="351"/>
      <c r="L10" s="351"/>
      <c r="M10" s="351"/>
      <c r="N10" s="96"/>
      <c r="O10" s="96"/>
    </row>
    <row r="11" spans="1:131" ht="15" x14ac:dyDescent="0.25">
      <c r="A11" s="901" t="s">
        <v>203</v>
      </c>
      <c r="B11" s="902"/>
      <c r="C11" s="902"/>
      <c r="D11" s="902"/>
      <c r="E11" s="902"/>
      <c r="F11" s="902"/>
      <c r="G11" s="902"/>
      <c r="H11" s="902"/>
      <c r="I11" s="902"/>
      <c r="J11" s="902"/>
      <c r="K11" s="902"/>
      <c r="L11" s="902"/>
      <c r="M11" s="902"/>
      <c r="N11" s="902"/>
      <c r="O11" s="903"/>
    </row>
    <row r="12" spans="1:131" ht="60" x14ac:dyDescent="0.25">
      <c r="A12" s="176" t="s">
        <v>89</v>
      </c>
      <c r="B12" s="176" t="s">
        <v>90</v>
      </c>
      <c r="C12" s="177" t="s">
        <v>0</v>
      </c>
      <c r="D12" s="180" t="s">
        <v>124</v>
      </c>
      <c r="E12" s="176" t="s">
        <v>143</v>
      </c>
      <c r="F12" s="176" t="s">
        <v>144</v>
      </c>
      <c r="G12" s="176" t="s">
        <v>13</v>
      </c>
      <c r="H12" s="382" t="s">
        <v>88</v>
      </c>
      <c r="I12" s="176" t="s">
        <v>12</v>
      </c>
      <c r="J12" s="400" t="s">
        <v>150</v>
      </c>
      <c r="K12" s="400" t="s">
        <v>151</v>
      </c>
      <c r="L12" s="400" t="s">
        <v>157</v>
      </c>
      <c r="M12" s="400" t="s">
        <v>149</v>
      </c>
      <c r="N12" s="400" t="s">
        <v>179</v>
      </c>
      <c r="O12" s="400" t="s">
        <v>205</v>
      </c>
    </row>
    <row r="13" spans="1:131" ht="15" x14ac:dyDescent="0.25">
      <c r="A13" s="184" t="s">
        <v>197</v>
      </c>
      <c r="B13" s="184"/>
      <c r="C13" s="185"/>
      <c r="D13" s="185"/>
      <c r="E13" s="184"/>
      <c r="F13" s="184"/>
      <c r="G13" s="184"/>
      <c r="H13" s="383"/>
      <c r="I13" s="184"/>
      <c r="J13" s="403"/>
      <c r="K13" s="403"/>
      <c r="L13" s="403"/>
      <c r="M13" s="403"/>
      <c r="N13" s="403"/>
      <c r="O13" s="404"/>
    </row>
    <row r="14" spans="1:131" ht="30" x14ac:dyDescent="0.25">
      <c r="A14" s="482" t="s">
        <v>8</v>
      </c>
      <c r="B14" s="485" t="s">
        <v>7</v>
      </c>
      <c r="C14" s="482" t="s">
        <v>239</v>
      </c>
      <c r="D14" s="482" t="s">
        <v>238</v>
      </c>
      <c r="E14" s="327" t="s">
        <v>32</v>
      </c>
      <c r="F14" s="327" t="s">
        <v>45</v>
      </c>
      <c r="G14" s="482" t="s">
        <v>22</v>
      </c>
      <c r="H14" s="483">
        <v>41455</v>
      </c>
      <c r="I14" s="482" t="s">
        <v>131</v>
      </c>
      <c r="J14" s="88">
        <v>26.77</v>
      </c>
      <c r="K14" s="88">
        <v>-24.27</v>
      </c>
      <c r="L14" s="488">
        <v>2.5</v>
      </c>
      <c r="M14" s="88"/>
      <c r="N14" s="88"/>
      <c r="O14" s="88"/>
    </row>
    <row r="15" spans="1:131" ht="30" x14ac:dyDescent="0.25">
      <c r="A15" s="485" t="s">
        <v>8</v>
      </c>
      <c r="B15" s="485" t="s">
        <v>193</v>
      </c>
      <c r="C15" s="485" t="s">
        <v>239</v>
      </c>
      <c r="D15" s="485" t="s">
        <v>238</v>
      </c>
      <c r="E15" s="485" t="s">
        <v>32</v>
      </c>
      <c r="F15" s="485" t="s">
        <v>45</v>
      </c>
      <c r="G15" s="485" t="s">
        <v>22</v>
      </c>
      <c r="H15" s="385">
        <v>41820</v>
      </c>
      <c r="I15" s="485" t="s">
        <v>132</v>
      </c>
      <c r="J15" s="379">
        <v>17.88</v>
      </c>
      <c r="K15" s="379"/>
      <c r="L15" s="489">
        <v>17.88</v>
      </c>
      <c r="M15" s="379"/>
      <c r="N15" s="379"/>
      <c r="O15" s="379"/>
    </row>
    <row r="16" spans="1:131" ht="30" x14ac:dyDescent="0.25">
      <c r="A16" s="482" t="s">
        <v>8</v>
      </c>
      <c r="B16" s="482" t="s">
        <v>193</v>
      </c>
      <c r="C16" s="482" t="s">
        <v>239</v>
      </c>
      <c r="D16" s="482" t="s">
        <v>238</v>
      </c>
      <c r="E16" s="482" t="s">
        <v>32</v>
      </c>
      <c r="F16" s="482" t="s">
        <v>45</v>
      </c>
      <c r="G16" s="482" t="s">
        <v>22</v>
      </c>
      <c r="H16" s="386">
        <v>42185</v>
      </c>
      <c r="I16" s="482" t="s">
        <v>133</v>
      </c>
      <c r="J16" s="380">
        <v>13.56</v>
      </c>
      <c r="K16" s="380"/>
      <c r="L16" s="488">
        <v>13.56</v>
      </c>
      <c r="M16" s="380"/>
      <c r="N16" s="380"/>
      <c r="O16" s="380"/>
    </row>
    <row r="17" spans="1:15" ht="30" x14ac:dyDescent="0.25">
      <c r="A17" s="485" t="s">
        <v>8</v>
      </c>
      <c r="B17" s="485" t="s">
        <v>193</v>
      </c>
      <c r="C17" s="485" t="s">
        <v>239</v>
      </c>
      <c r="D17" s="485" t="s">
        <v>238</v>
      </c>
      <c r="E17" s="485" t="s">
        <v>32</v>
      </c>
      <c r="F17" s="485" t="s">
        <v>45</v>
      </c>
      <c r="G17" s="485" t="s">
        <v>22</v>
      </c>
      <c r="H17" s="385">
        <v>42551</v>
      </c>
      <c r="I17" s="485" t="s">
        <v>300</v>
      </c>
      <c r="J17" s="379">
        <v>1.1100000000000001</v>
      </c>
      <c r="K17" s="379"/>
      <c r="L17" s="490">
        <v>1.1100000000000001</v>
      </c>
      <c r="M17" s="379"/>
      <c r="N17" s="379"/>
      <c r="O17" s="379"/>
    </row>
    <row r="18" spans="1:15" ht="15" x14ac:dyDescent="0.25">
      <c r="A18" s="181"/>
      <c r="B18" s="181"/>
      <c r="C18" s="181"/>
      <c r="D18" s="181"/>
      <c r="E18" s="182"/>
      <c r="F18" s="181"/>
      <c r="G18" s="181"/>
      <c r="H18" s="183" t="s">
        <v>206</v>
      </c>
      <c r="I18" s="181"/>
      <c r="J18" s="354">
        <v>59.32</v>
      </c>
      <c r="K18" s="354">
        <v>-24.27</v>
      </c>
      <c r="L18" s="354">
        <v>35.049999999999997</v>
      </c>
      <c r="M18" s="354">
        <v>34.876022999999996</v>
      </c>
      <c r="N18" s="354">
        <v>0.17397699999999999</v>
      </c>
      <c r="O18" s="354">
        <v>35</v>
      </c>
    </row>
    <row r="19" spans="1:15" ht="15" x14ac:dyDescent="0.25">
      <c r="A19" s="181" t="s">
        <v>295</v>
      </c>
      <c r="B19" s="181"/>
      <c r="C19" s="181"/>
      <c r="D19" s="181"/>
      <c r="E19" s="182"/>
      <c r="F19" s="181"/>
      <c r="G19" s="181"/>
      <c r="H19" s="183"/>
      <c r="I19" s="181"/>
      <c r="J19" s="354"/>
      <c r="K19" s="354"/>
      <c r="L19" s="354"/>
      <c r="M19" s="354"/>
      <c r="N19" s="354"/>
      <c r="O19" s="354"/>
    </row>
    <row r="20" spans="1:15" ht="15" x14ac:dyDescent="0.25">
      <c r="A20" s="184" t="s">
        <v>327</v>
      </c>
      <c r="B20" s="184"/>
      <c r="C20" s="185"/>
      <c r="D20" s="185"/>
      <c r="E20" s="184"/>
      <c r="F20" s="184"/>
      <c r="G20" s="184"/>
      <c r="H20" s="383"/>
      <c r="I20" s="184"/>
      <c r="J20" s="459"/>
      <c r="K20" s="459"/>
      <c r="L20" s="459"/>
      <c r="M20" s="459"/>
      <c r="N20" s="459"/>
      <c r="O20" s="186"/>
    </row>
    <row r="21" spans="1:15" ht="30" x14ac:dyDescent="0.25">
      <c r="A21" s="482" t="s">
        <v>8</v>
      </c>
      <c r="B21" s="482" t="s">
        <v>7</v>
      </c>
      <c r="C21" s="482" t="s">
        <v>27</v>
      </c>
      <c r="D21" s="482" t="s">
        <v>127</v>
      </c>
      <c r="E21" s="327" t="s">
        <v>33</v>
      </c>
      <c r="F21" s="327" t="s">
        <v>45</v>
      </c>
      <c r="G21" s="482" t="s">
        <v>22</v>
      </c>
      <c r="H21" s="483">
        <v>41455</v>
      </c>
      <c r="I21" s="482" t="s">
        <v>137</v>
      </c>
      <c r="J21" s="88">
        <v>5.2490547599999999</v>
      </c>
      <c r="K21" s="88">
        <v>-3.9228889200000001</v>
      </c>
      <c r="L21" s="488">
        <v>1.3261658399999998</v>
      </c>
      <c r="M21" s="486"/>
      <c r="N21" s="486"/>
      <c r="O21" s="486"/>
    </row>
    <row r="22" spans="1:15" ht="30" x14ac:dyDescent="0.25">
      <c r="A22" s="482" t="s">
        <v>84</v>
      </c>
      <c r="B22" s="485" t="s">
        <v>7</v>
      </c>
      <c r="C22" s="485" t="s">
        <v>27</v>
      </c>
      <c r="D22" s="485" t="s">
        <v>127</v>
      </c>
      <c r="E22" s="485" t="s">
        <v>33</v>
      </c>
      <c r="F22" s="485" t="s">
        <v>45</v>
      </c>
      <c r="G22" s="485" t="s">
        <v>22</v>
      </c>
      <c r="H22" s="385">
        <v>41820</v>
      </c>
      <c r="I22" s="485" t="s">
        <v>138</v>
      </c>
      <c r="J22" s="379">
        <v>0.92112859999999996</v>
      </c>
      <c r="K22" s="379">
        <v>0</v>
      </c>
      <c r="L22" s="489">
        <v>0.92112859999999996</v>
      </c>
      <c r="M22" s="484"/>
      <c r="N22" s="484"/>
      <c r="O22" s="484"/>
    </row>
    <row r="23" spans="1:15" ht="30" x14ac:dyDescent="0.25">
      <c r="A23" s="482" t="s">
        <v>8</v>
      </c>
      <c r="B23" s="482" t="s">
        <v>7</v>
      </c>
      <c r="C23" s="482" t="s">
        <v>27</v>
      </c>
      <c r="D23" s="482" t="s">
        <v>127</v>
      </c>
      <c r="E23" s="482" t="s">
        <v>33</v>
      </c>
      <c r="F23" s="482" t="s">
        <v>45</v>
      </c>
      <c r="G23" s="482" t="s">
        <v>22</v>
      </c>
      <c r="H23" s="386">
        <v>42185</v>
      </c>
      <c r="I23" s="482" t="s">
        <v>139</v>
      </c>
      <c r="J23" s="380"/>
      <c r="K23" s="380">
        <v>0</v>
      </c>
      <c r="L23" s="488">
        <v>0</v>
      </c>
      <c r="M23" s="487"/>
      <c r="N23" s="487"/>
      <c r="O23" s="487"/>
    </row>
    <row r="24" spans="1:15" ht="30" x14ac:dyDescent="0.25">
      <c r="A24" s="482" t="s">
        <v>8</v>
      </c>
      <c r="B24" s="485" t="s">
        <v>7</v>
      </c>
      <c r="C24" s="485" t="s">
        <v>27</v>
      </c>
      <c r="D24" s="485" t="s">
        <v>127</v>
      </c>
      <c r="E24" s="485" t="s">
        <v>33</v>
      </c>
      <c r="F24" s="485" t="s">
        <v>45</v>
      </c>
      <c r="G24" s="485" t="s">
        <v>22</v>
      </c>
      <c r="H24" s="385">
        <v>42551</v>
      </c>
      <c r="I24" s="485" t="s">
        <v>301</v>
      </c>
      <c r="J24" s="379"/>
      <c r="K24" s="379">
        <v>0</v>
      </c>
      <c r="L24" s="490">
        <v>0</v>
      </c>
      <c r="M24" s="484"/>
      <c r="N24" s="484"/>
      <c r="O24" s="484"/>
    </row>
    <row r="25" spans="1:15" ht="15" x14ac:dyDescent="0.25">
      <c r="A25" s="181" t="s">
        <v>324</v>
      </c>
      <c r="B25" s="181"/>
      <c r="C25" s="181"/>
      <c r="D25" s="181"/>
      <c r="E25" s="182"/>
      <c r="F25" s="181"/>
      <c r="G25" s="181"/>
      <c r="H25" s="183" t="s">
        <v>206</v>
      </c>
      <c r="I25" s="181"/>
      <c r="J25" s="354">
        <v>6.1701833600000002</v>
      </c>
      <c r="K25" s="354">
        <v>-3.9228889200000001</v>
      </c>
      <c r="L25" s="354">
        <v>2.2472944399999997</v>
      </c>
      <c r="M25" s="354">
        <v>2.1889625199999996</v>
      </c>
      <c r="N25" s="354">
        <v>5.833191999999994E-2</v>
      </c>
      <c r="O25" s="354"/>
    </row>
    <row r="26" spans="1:15" ht="15" x14ac:dyDescent="0.25">
      <c r="A26" s="181"/>
      <c r="B26" s="181"/>
      <c r="C26" s="181"/>
      <c r="D26" s="181"/>
      <c r="E26" s="182"/>
      <c r="F26" s="181"/>
      <c r="G26" s="181"/>
      <c r="H26" s="183"/>
      <c r="I26" s="181"/>
      <c r="J26" s="354"/>
      <c r="K26" s="354"/>
      <c r="L26" s="354"/>
      <c r="M26" s="354"/>
      <c r="N26" s="354"/>
      <c r="O26" s="354"/>
    </row>
    <row r="27" spans="1:15" ht="15" x14ac:dyDescent="0.25">
      <c r="A27" s="184" t="s">
        <v>328</v>
      </c>
      <c r="B27" s="184"/>
      <c r="C27" s="185"/>
      <c r="D27" s="185"/>
      <c r="E27" s="184"/>
      <c r="F27" s="184"/>
      <c r="G27" s="184"/>
      <c r="H27" s="383"/>
      <c r="I27" s="184"/>
      <c r="J27" s="459"/>
      <c r="K27" s="459"/>
      <c r="L27" s="459"/>
      <c r="M27" s="459"/>
      <c r="N27" s="459"/>
      <c r="O27" s="186"/>
    </row>
    <row r="28" spans="1:15" ht="30" x14ac:dyDescent="0.25">
      <c r="A28" s="482"/>
      <c r="B28" s="482" t="s">
        <v>7</v>
      </c>
      <c r="C28" s="482" t="s">
        <v>92</v>
      </c>
      <c r="D28" s="482" t="s">
        <v>128</v>
      </c>
      <c r="E28" s="327" t="s">
        <v>33</v>
      </c>
      <c r="F28" s="327" t="s">
        <v>45</v>
      </c>
      <c r="G28" s="482" t="s">
        <v>22</v>
      </c>
      <c r="H28" s="483">
        <v>41455</v>
      </c>
      <c r="I28" s="482" t="s">
        <v>137</v>
      </c>
      <c r="J28" s="88">
        <v>0.78420411999999995</v>
      </c>
      <c r="K28" s="88">
        <v>-0.43534171999999999</v>
      </c>
      <c r="L28" s="488">
        <v>0.34886239999999996</v>
      </c>
      <c r="M28" s="379"/>
      <c r="N28" s="379"/>
      <c r="O28" s="379"/>
    </row>
    <row r="29" spans="1:15" ht="30" x14ac:dyDescent="0.25">
      <c r="A29" s="485"/>
      <c r="B29" s="485" t="s">
        <v>7</v>
      </c>
      <c r="C29" s="485" t="s">
        <v>92</v>
      </c>
      <c r="D29" s="485" t="s">
        <v>128</v>
      </c>
      <c r="E29" s="485" t="s">
        <v>33</v>
      </c>
      <c r="F29" s="485" t="s">
        <v>45</v>
      </c>
      <c r="G29" s="485" t="s">
        <v>22</v>
      </c>
      <c r="H29" s="385">
        <v>42185</v>
      </c>
      <c r="I29" s="485" t="s">
        <v>139</v>
      </c>
      <c r="J29" s="379">
        <v>2.7230235199999999</v>
      </c>
      <c r="K29" s="379">
        <v>0</v>
      </c>
      <c r="L29" s="489">
        <v>2.7230235199999999</v>
      </c>
      <c r="M29" s="380"/>
      <c r="N29" s="380"/>
      <c r="O29" s="380"/>
    </row>
    <row r="30" spans="1:15" ht="30" x14ac:dyDescent="0.25">
      <c r="A30" s="482"/>
      <c r="B30" s="482" t="s">
        <v>7</v>
      </c>
      <c r="C30" s="482" t="s">
        <v>92</v>
      </c>
      <c r="D30" s="482" t="s">
        <v>128</v>
      </c>
      <c r="E30" s="482" t="s">
        <v>33</v>
      </c>
      <c r="F30" s="482" t="s">
        <v>45</v>
      </c>
      <c r="G30" s="482" t="s">
        <v>22</v>
      </c>
      <c r="H30" s="386">
        <v>42185</v>
      </c>
      <c r="I30" s="482" t="s">
        <v>139</v>
      </c>
      <c r="J30" s="380">
        <v>1.5495680000000001</v>
      </c>
      <c r="K30" s="380">
        <v>0</v>
      </c>
      <c r="L30" s="488">
        <v>1.5495680000000001</v>
      </c>
      <c r="M30" s="379"/>
      <c r="N30" s="379"/>
      <c r="O30" s="379"/>
    </row>
    <row r="31" spans="1:15" ht="30" x14ac:dyDescent="0.25">
      <c r="A31" s="485"/>
      <c r="B31" s="485" t="s">
        <v>7</v>
      </c>
      <c r="C31" s="485" t="s">
        <v>92</v>
      </c>
      <c r="D31" s="485" t="s">
        <v>128</v>
      </c>
      <c r="E31" s="485" t="s">
        <v>33</v>
      </c>
      <c r="F31" s="485" t="s">
        <v>45</v>
      </c>
      <c r="G31" s="485" t="s">
        <v>22</v>
      </c>
      <c r="H31" s="385">
        <v>42551</v>
      </c>
      <c r="I31" s="485" t="s">
        <v>301</v>
      </c>
      <c r="J31" s="379">
        <v>0.72236800000000001</v>
      </c>
      <c r="K31" s="379">
        <v>0</v>
      </c>
      <c r="L31" s="490">
        <v>0.72236800000000001</v>
      </c>
      <c r="M31" s="380"/>
      <c r="N31" s="380"/>
      <c r="O31" s="380"/>
    </row>
    <row r="32" spans="1:15" ht="15" x14ac:dyDescent="0.25">
      <c r="A32" s="181" t="s">
        <v>325</v>
      </c>
      <c r="B32" s="181"/>
      <c r="C32" s="181"/>
      <c r="D32" s="181"/>
      <c r="E32" s="182"/>
      <c r="F32" s="181"/>
      <c r="G32" s="181"/>
      <c r="H32" s="183" t="s">
        <v>206</v>
      </c>
      <c r="I32" s="181"/>
      <c r="J32" s="354">
        <v>5.7791636400000002</v>
      </c>
      <c r="K32" s="354">
        <v>-0.43534171999999999</v>
      </c>
      <c r="L32" s="354">
        <v>5.3438219199999999</v>
      </c>
      <c r="M32" s="354">
        <v>6.4545554200000002</v>
      </c>
      <c r="N32" s="354">
        <v>-1.1107335000000005</v>
      </c>
      <c r="O32" s="354"/>
    </row>
    <row r="33" spans="1:15" ht="30" x14ac:dyDescent="0.25">
      <c r="A33" s="181" t="s">
        <v>331</v>
      </c>
      <c r="B33" s="181"/>
      <c r="C33" s="181"/>
      <c r="D33" s="181"/>
      <c r="E33" s="182"/>
      <c r="F33" s="181"/>
      <c r="G33" s="181"/>
      <c r="H33" s="183"/>
      <c r="I33" s="181"/>
      <c r="J33" s="354">
        <f>J32 + J25</f>
        <v>11.949346999999999</v>
      </c>
      <c r="K33" s="354">
        <f>K32 + K25</f>
        <v>-4.3582306400000004</v>
      </c>
      <c r="L33" s="354">
        <f>L32 + L25</f>
        <v>7.5911163599999991</v>
      </c>
      <c r="M33" s="354">
        <f>M32 + M25</f>
        <v>8.6435179399999988</v>
      </c>
      <c r="N33" s="354">
        <f>IF(AND(N32&gt;0, N25&gt;0),N32 + N25,IF(AND(N32&gt;0, N25&lt;=0),N32,IF(AND(N32&lt;0, N25&gt;=0), N25,0)))</f>
        <v>5.833191999999994E-2</v>
      </c>
      <c r="O33" s="354"/>
    </row>
    <row r="34" spans="1:15" ht="15" x14ac:dyDescent="0.25">
      <c r="A34" s="184" t="s">
        <v>298</v>
      </c>
      <c r="B34" s="184"/>
      <c r="C34" s="185"/>
      <c r="D34" s="185"/>
      <c r="E34" s="184"/>
      <c r="F34" s="184"/>
      <c r="G34" s="184"/>
      <c r="H34" s="383"/>
      <c r="I34" s="184"/>
      <c r="J34" s="403"/>
      <c r="K34" s="403"/>
      <c r="L34" s="403"/>
      <c r="M34" s="403"/>
      <c r="N34" s="403"/>
      <c r="O34" s="404"/>
    </row>
    <row r="35" spans="1:15" ht="15" x14ac:dyDescent="0.25">
      <c r="A35" s="901" t="s">
        <v>325</v>
      </c>
      <c r="B35" s="902"/>
      <c r="C35" s="902"/>
      <c r="D35" s="902"/>
      <c r="E35" s="902"/>
      <c r="F35" s="902"/>
      <c r="G35" s="902"/>
      <c r="H35" s="902"/>
      <c r="I35" s="902"/>
      <c r="J35" s="902"/>
      <c r="K35" s="902"/>
      <c r="L35" s="902"/>
      <c r="M35" s="902"/>
      <c r="N35" s="902"/>
      <c r="O35" s="903"/>
    </row>
    <row r="36" spans="1:15" ht="60" x14ac:dyDescent="0.25">
      <c r="A36" s="176" t="s">
        <v>89</v>
      </c>
      <c r="B36" s="176" t="s">
        <v>90</v>
      </c>
      <c r="C36" s="177" t="s">
        <v>0</v>
      </c>
      <c r="D36" s="177" t="s">
        <v>124</v>
      </c>
      <c r="E36" s="176" t="s">
        <v>143</v>
      </c>
      <c r="F36" s="176" t="s">
        <v>144</v>
      </c>
      <c r="G36" s="176" t="s">
        <v>13</v>
      </c>
      <c r="H36" s="382" t="s">
        <v>88</v>
      </c>
      <c r="I36" s="176" t="s">
        <v>12</v>
      </c>
      <c r="J36" s="400" t="s">
        <v>200</v>
      </c>
      <c r="K36" s="400" t="s">
        <v>199</v>
      </c>
      <c r="L36" s="400" t="s">
        <v>201</v>
      </c>
      <c r="M36" s="400" t="s">
        <v>149</v>
      </c>
      <c r="N36" s="400" t="s">
        <v>179</v>
      </c>
      <c r="O36" s="400" t="s">
        <v>304</v>
      </c>
    </row>
    <row r="37" spans="1:15" ht="30" x14ac:dyDescent="0.25">
      <c r="A37" s="485" t="s">
        <v>84</v>
      </c>
      <c r="B37" s="485" t="s">
        <v>9</v>
      </c>
      <c r="C37" s="485" t="s">
        <v>183</v>
      </c>
      <c r="D37" s="485" t="s">
        <v>142</v>
      </c>
      <c r="E37" s="329" t="s">
        <v>142</v>
      </c>
      <c r="F37" s="485" t="s">
        <v>142</v>
      </c>
      <c r="G37" s="485" t="s">
        <v>22</v>
      </c>
      <c r="H37" s="93">
        <v>41449</v>
      </c>
      <c r="I37" s="485" t="s">
        <v>172</v>
      </c>
      <c r="J37" s="96">
        <v>7.0349999999999996E-2</v>
      </c>
      <c r="K37" s="96" t="s">
        <v>299</v>
      </c>
      <c r="L37" s="292">
        <v>7.0349999999999996E-2</v>
      </c>
      <c r="M37" s="292">
        <f>+O37*50000/1000000</f>
        <v>6.5839999999999996E-2</v>
      </c>
      <c r="N37" s="292">
        <f>M37-L37</f>
        <v>-4.5100000000000001E-3</v>
      </c>
      <c r="O37" s="96">
        <v>1.3168</v>
      </c>
    </row>
    <row r="38" spans="1:15" ht="30" x14ac:dyDescent="0.25">
      <c r="A38" s="111" t="s">
        <v>297</v>
      </c>
      <c r="B38" s="99"/>
      <c r="C38" s="2"/>
      <c r="D38" s="2"/>
      <c r="E38" s="2"/>
      <c r="F38" s="2"/>
      <c r="G38" s="2"/>
      <c r="H38" s="3"/>
      <c r="I38" s="2"/>
      <c r="J38" s="293"/>
      <c r="K38" s="293"/>
      <c r="L38" s="491">
        <f>L37</f>
        <v>7.0349999999999996E-2</v>
      </c>
      <c r="M38" s="144"/>
      <c r="N38" s="491">
        <f>IF(N37&gt;0,N37,0)</f>
        <v>0</v>
      </c>
      <c r="O38" s="144"/>
    </row>
    <row r="39" spans="1:15" ht="15" x14ac:dyDescent="0.25">
      <c r="A39" s="99"/>
      <c r="B39" s="99"/>
      <c r="C39" s="99"/>
      <c r="D39" s="99"/>
      <c r="E39" s="99"/>
      <c r="F39" s="99"/>
      <c r="G39" s="99"/>
      <c r="H39" s="388"/>
      <c r="I39" s="99"/>
      <c r="J39" s="144"/>
      <c r="K39" s="144"/>
      <c r="L39" s="144"/>
      <c r="M39" s="144"/>
      <c r="N39" s="144"/>
      <c r="O39" s="144"/>
    </row>
    <row r="40" spans="1:15" ht="15" x14ac:dyDescent="0.25">
      <c r="A40" s="99"/>
      <c r="B40" s="99"/>
      <c r="C40" s="99"/>
      <c r="D40" s="99"/>
      <c r="E40" s="99"/>
      <c r="F40" s="99"/>
      <c r="G40" s="99"/>
      <c r="H40" s="388"/>
      <c r="I40" s="99"/>
      <c r="J40" s="77"/>
      <c r="K40" s="144"/>
      <c r="L40" s="144"/>
      <c r="M40" s="77"/>
      <c r="N40" s="77"/>
      <c r="O40" s="77"/>
    </row>
    <row r="41" spans="1:15" ht="15" x14ac:dyDescent="0.25">
      <c r="A41" s="99"/>
      <c r="B41" s="99"/>
      <c r="C41" s="99"/>
      <c r="D41" s="99"/>
      <c r="E41" s="99"/>
      <c r="F41" s="99"/>
      <c r="G41" s="99"/>
      <c r="H41" s="388"/>
      <c r="I41" s="99"/>
      <c r="J41" s="77"/>
      <c r="K41" s="77"/>
      <c r="L41" s="77"/>
      <c r="M41" s="77"/>
      <c r="N41" s="77"/>
      <c r="O41" s="77"/>
    </row>
    <row r="42" spans="1:15" ht="15" x14ac:dyDescent="0.25">
      <c r="A42" s="99"/>
      <c r="B42" s="99"/>
      <c r="C42" s="99"/>
      <c r="D42" s="99"/>
      <c r="E42" s="99"/>
      <c r="F42" s="99"/>
      <c r="G42" s="99"/>
      <c r="H42" s="388"/>
      <c r="I42" s="99"/>
      <c r="J42" s="77"/>
      <c r="K42" s="77"/>
      <c r="L42" s="77"/>
      <c r="M42" s="77"/>
      <c r="N42" s="77"/>
      <c r="O42" s="77"/>
    </row>
    <row r="43" spans="1:15" ht="15" x14ac:dyDescent="0.25">
      <c r="A43" s="99"/>
      <c r="B43" s="99"/>
      <c r="C43" s="99"/>
      <c r="D43" s="99"/>
      <c r="E43" s="99"/>
      <c r="F43" s="99"/>
      <c r="G43" s="99"/>
      <c r="H43" s="388"/>
      <c r="I43" s="99"/>
      <c r="J43" s="77"/>
      <c r="K43" s="77"/>
      <c r="L43" s="77"/>
      <c r="M43" s="77"/>
      <c r="N43" s="77"/>
      <c r="O43" s="77"/>
    </row>
    <row r="44" spans="1:15" ht="15" x14ac:dyDescent="0.25">
      <c r="A44" s="99"/>
      <c r="B44" s="99"/>
      <c r="C44" s="99"/>
      <c r="D44" s="99"/>
      <c r="E44" s="99"/>
      <c r="F44" s="99"/>
      <c r="G44" s="99"/>
      <c r="H44" s="388"/>
      <c r="I44" s="99"/>
      <c r="J44" s="77"/>
      <c r="K44" s="77"/>
      <c r="L44" s="77"/>
      <c r="M44" s="77"/>
      <c r="N44" s="77"/>
      <c r="O44" s="77"/>
    </row>
    <row r="45" spans="1:15" ht="15" x14ac:dyDescent="0.25">
      <c r="A45" s="99"/>
      <c r="B45" s="99"/>
      <c r="C45" s="99"/>
      <c r="D45" s="99"/>
      <c r="E45" s="99"/>
      <c r="F45" s="99"/>
      <c r="G45" s="99"/>
      <c r="H45" s="388"/>
      <c r="I45" s="99"/>
      <c r="J45" s="77"/>
      <c r="K45" s="77"/>
      <c r="L45" s="77"/>
      <c r="M45" s="77"/>
      <c r="N45" s="77"/>
      <c r="O45" s="77"/>
    </row>
    <row r="46" spans="1:15" ht="15" x14ac:dyDescent="0.25">
      <c r="A46" s="99"/>
      <c r="B46" s="99"/>
      <c r="C46" s="99"/>
      <c r="D46" s="99"/>
      <c r="E46" s="99"/>
      <c r="F46" s="99"/>
      <c r="G46" s="99"/>
      <c r="H46" s="388"/>
      <c r="I46" s="99"/>
      <c r="J46" s="77"/>
      <c r="K46" s="77"/>
      <c r="L46" s="77"/>
      <c r="M46" s="77"/>
      <c r="N46" s="77"/>
      <c r="O46" s="77"/>
    </row>
    <row r="47" spans="1:15" ht="15.6" thickBot="1" x14ac:dyDescent="0.3">
      <c r="A47" s="904"/>
      <c r="B47" s="904"/>
      <c r="C47" s="904"/>
      <c r="D47" s="904"/>
      <c r="E47" s="904"/>
      <c r="F47" s="904"/>
      <c r="G47" s="904"/>
      <c r="H47" s="904"/>
      <c r="I47" s="904"/>
      <c r="J47" s="904"/>
      <c r="K47" s="904"/>
      <c r="L47" s="904"/>
      <c r="M47" s="904"/>
      <c r="N47" s="904"/>
      <c r="O47" s="904"/>
    </row>
    <row r="48" spans="1:15" ht="15.6" x14ac:dyDescent="0.3">
      <c r="A48" s="905"/>
      <c r="B48" s="905"/>
      <c r="C48" s="905"/>
      <c r="D48" s="905"/>
      <c r="E48" s="905"/>
      <c r="F48" s="905"/>
      <c r="G48" s="99"/>
      <c r="H48" s="388"/>
      <c r="I48" s="99"/>
      <c r="J48" s="77"/>
      <c r="K48" s="77"/>
      <c r="L48" s="77"/>
      <c r="M48" s="77"/>
      <c r="N48" s="77"/>
      <c r="O48" s="77"/>
    </row>
    <row r="49" spans="1:15" ht="15.6" x14ac:dyDescent="0.3">
      <c r="A49" s="202"/>
      <c r="B49" s="203"/>
      <c r="C49" s="203"/>
      <c r="D49" s="202"/>
      <c r="E49" s="202"/>
      <c r="F49" s="202"/>
      <c r="G49" s="99"/>
      <c r="H49" s="384"/>
      <c r="I49" s="99"/>
      <c r="J49" s="77"/>
      <c r="K49" s="77"/>
      <c r="L49" s="77"/>
      <c r="M49" s="77"/>
      <c r="N49" s="77"/>
      <c r="O49" s="77"/>
    </row>
    <row r="50" spans="1:15" ht="15" x14ac:dyDescent="0.25">
      <c r="A50" s="391"/>
      <c r="B50" s="391"/>
      <c r="C50" s="391"/>
      <c r="D50" s="391"/>
      <c r="E50" s="391"/>
      <c r="F50" s="391"/>
      <c r="G50" s="99"/>
      <c r="H50" s="388"/>
      <c r="I50" s="99"/>
      <c r="J50" s="77"/>
      <c r="K50" s="77"/>
      <c r="L50" s="77"/>
      <c r="M50" s="77"/>
      <c r="N50" s="77"/>
      <c r="O50" s="77"/>
    </row>
    <row r="51" spans="1:15" ht="15" x14ac:dyDescent="0.25">
      <c r="A51" s="395"/>
      <c r="B51" s="392"/>
      <c r="C51" s="392"/>
      <c r="D51" s="392"/>
      <c r="E51" s="392"/>
      <c r="F51" s="205"/>
      <c r="G51" s="99"/>
      <c r="H51" s="388"/>
      <c r="I51" s="99"/>
      <c r="J51" s="77"/>
      <c r="K51" s="77"/>
      <c r="L51" s="77"/>
      <c r="M51" s="77"/>
      <c r="N51" s="77"/>
      <c r="O51" s="77"/>
    </row>
    <row r="52" spans="1:15" ht="15" x14ac:dyDescent="0.25">
      <c r="A52" s="395"/>
      <c r="B52" s="392"/>
      <c r="C52" s="392"/>
      <c r="D52" s="392"/>
      <c r="E52" s="392"/>
      <c r="F52" s="205"/>
      <c r="G52" s="99"/>
      <c r="H52" s="388"/>
      <c r="I52" s="99"/>
      <c r="J52" s="77"/>
      <c r="K52" s="77"/>
      <c r="L52" s="77"/>
      <c r="M52" s="77"/>
      <c r="N52" s="77"/>
      <c r="O52" s="77"/>
    </row>
    <row r="53" spans="1:15" ht="15" x14ac:dyDescent="0.25">
      <c r="A53" s="391"/>
      <c r="B53" s="392"/>
      <c r="C53" s="392"/>
      <c r="D53" s="392"/>
      <c r="E53" s="392"/>
      <c r="F53" s="205"/>
      <c r="G53" s="99"/>
      <c r="H53" s="388"/>
      <c r="I53" s="99"/>
      <c r="J53" s="77"/>
      <c r="K53" s="77"/>
      <c r="L53" s="77"/>
      <c r="M53" s="77"/>
      <c r="N53" s="77"/>
      <c r="O53" s="77"/>
    </row>
    <row r="54" spans="1:15" ht="15" x14ac:dyDescent="0.25">
      <c r="A54" s="395"/>
      <c r="B54" s="392"/>
      <c r="C54" s="392"/>
      <c r="D54" s="392"/>
      <c r="E54" s="392"/>
      <c r="F54" s="205"/>
      <c r="G54" s="99"/>
      <c r="H54" s="388"/>
      <c r="I54" s="99"/>
      <c r="J54" s="77"/>
      <c r="K54" s="77"/>
      <c r="L54" s="77"/>
      <c r="M54" s="77"/>
      <c r="N54" s="77"/>
      <c r="O54" s="77"/>
    </row>
    <row r="55" spans="1:15" ht="15" x14ac:dyDescent="0.25">
      <c r="A55" s="391"/>
      <c r="B55" s="392"/>
      <c r="C55" s="392"/>
      <c r="D55" s="392"/>
      <c r="E55" s="392"/>
      <c r="F55" s="205"/>
      <c r="G55" s="99"/>
      <c r="H55" s="388"/>
      <c r="I55" s="99"/>
      <c r="J55" s="77"/>
      <c r="K55" s="77"/>
      <c r="L55" s="77"/>
      <c r="M55" s="77"/>
      <c r="N55" s="77"/>
      <c r="O55" s="77"/>
    </row>
    <row r="56" spans="1:15" ht="15" x14ac:dyDescent="0.25">
      <c r="A56" s="391"/>
      <c r="B56" s="392"/>
      <c r="C56" s="392"/>
      <c r="D56" s="392"/>
      <c r="E56" s="392"/>
      <c r="F56" s="205"/>
      <c r="G56" s="99"/>
      <c r="H56" s="388"/>
      <c r="I56" s="99"/>
      <c r="J56" s="77"/>
      <c r="K56" s="77"/>
      <c r="L56" s="77"/>
      <c r="M56" s="77"/>
      <c r="N56" s="77"/>
      <c r="O56" s="77"/>
    </row>
    <row r="57" spans="1:15" ht="16.8" x14ac:dyDescent="0.4">
      <c r="A57" s="391"/>
      <c r="B57" s="393"/>
      <c r="C57" s="393"/>
      <c r="D57" s="393"/>
      <c r="E57" s="393"/>
      <c r="F57" s="207"/>
      <c r="G57" s="99"/>
      <c r="H57" s="389"/>
      <c r="I57" s="99"/>
      <c r="J57" s="77"/>
      <c r="K57" s="77"/>
      <c r="L57" s="77"/>
      <c r="M57" s="77"/>
      <c r="N57" s="77"/>
      <c r="O57" s="77"/>
    </row>
    <row r="58" spans="1:15" ht="16.8" x14ac:dyDescent="0.4">
      <c r="A58" s="391"/>
      <c r="B58" s="394"/>
      <c r="C58" s="394"/>
      <c r="D58" s="394"/>
      <c r="E58" s="394"/>
      <c r="F58" s="210"/>
      <c r="G58" s="99"/>
      <c r="H58" s="390"/>
      <c r="I58" s="99"/>
      <c r="J58" s="77"/>
      <c r="K58" s="77"/>
      <c r="L58" s="77"/>
      <c r="M58" s="77"/>
      <c r="N58" s="77"/>
      <c r="O58" s="77"/>
    </row>
    <row r="59" spans="1:15" ht="15" x14ac:dyDescent="0.25">
      <c r="A59" s="391"/>
      <c r="B59" s="391"/>
      <c r="C59" s="391"/>
      <c r="D59" s="391"/>
      <c r="E59" s="391"/>
      <c r="F59" s="391"/>
      <c r="G59" s="99"/>
      <c r="H59" s="388"/>
      <c r="I59" s="99"/>
      <c r="J59" s="77"/>
      <c r="K59" s="77"/>
      <c r="L59" s="77"/>
      <c r="M59" s="77"/>
      <c r="N59" s="77"/>
      <c r="O59" s="77"/>
    </row>
    <row r="60" spans="1:15" ht="15" x14ac:dyDescent="0.25">
      <c r="A60" s="99"/>
      <c r="B60" s="99"/>
      <c r="C60" s="99"/>
      <c r="D60" s="99"/>
      <c r="E60" s="99"/>
      <c r="F60" s="99"/>
      <c r="G60" s="99"/>
      <c r="H60" s="388"/>
      <c r="I60" s="99"/>
      <c r="J60" s="77"/>
      <c r="K60" s="77"/>
      <c r="L60" s="77"/>
      <c r="M60" s="77"/>
      <c r="N60" s="77"/>
      <c r="O60" s="77"/>
    </row>
    <row r="61" spans="1:15" ht="15" x14ac:dyDescent="0.25">
      <c r="A61" s="99"/>
      <c r="B61" s="99"/>
      <c r="C61" s="99"/>
      <c r="D61" s="99"/>
      <c r="E61" s="99"/>
      <c r="F61" s="99"/>
      <c r="G61" s="99"/>
      <c r="H61" s="388"/>
      <c r="I61" s="99"/>
      <c r="J61" s="77"/>
      <c r="K61" s="77"/>
      <c r="L61" s="77"/>
      <c r="M61" s="77"/>
      <c r="N61" s="77"/>
      <c r="O61" s="77"/>
    </row>
    <row r="62" spans="1:15" ht="15" x14ac:dyDescent="0.25">
      <c r="A62" s="99"/>
      <c r="B62" s="99"/>
      <c r="C62" s="99"/>
      <c r="D62" s="99"/>
      <c r="E62" s="99"/>
      <c r="F62" s="99"/>
      <c r="G62" s="99"/>
      <c r="H62" s="388"/>
      <c r="I62" s="99"/>
      <c r="J62" s="77"/>
      <c r="K62" s="77"/>
      <c r="L62" s="77"/>
      <c r="M62" s="77"/>
      <c r="N62" s="77"/>
      <c r="O62" s="77"/>
    </row>
    <row r="63" spans="1:15" ht="15" x14ac:dyDescent="0.25">
      <c r="A63" s="99"/>
      <c r="B63" s="99"/>
      <c r="C63" s="99"/>
      <c r="D63" s="99"/>
      <c r="E63" s="99"/>
      <c r="F63" s="99"/>
      <c r="G63" s="99"/>
      <c r="H63" s="388"/>
      <c r="I63" s="99"/>
      <c r="J63" s="77"/>
      <c r="K63" s="77"/>
      <c r="L63" s="77"/>
      <c r="M63" s="77"/>
      <c r="N63" s="77"/>
      <c r="O63" s="77"/>
    </row>
    <row r="64" spans="1:15" ht="15" x14ac:dyDescent="0.25">
      <c r="A64" s="99"/>
      <c r="B64" s="99"/>
      <c r="C64" s="99"/>
      <c r="D64" s="99"/>
      <c r="E64" s="99"/>
      <c r="F64" s="99"/>
      <c r="G64" s="99"/>
      <c r="H64" s="388"/>
      <c r="I64" s="99"/>
      <c r="J64" s="77"/>
      <c r="K64" s="77"/>
      <c r="L64" s="77"/>
      <c r="M64" s="77"/>
      <c r="N64" s="77"/>
      <c r="O64" s="77"/>
    </row>
    <row r="65" spans="1:15" ht="15" x14ac:dyDescent="0.25">
      <c r="A65" s="99"/>
      <c r="B65" s="99"/>
      <c r="C65" s="99"/>
      <c r="D65" s="99"/>
      <c r="E65" s="99"/>
      <c r="F65" s="99"/>
      <c r="G65" s="99"/>
      <c r="H65" s="388"/>
      <c r="I65" s="99"/>
      <c r="J65" s="77"/>
      <c r="K65" s="77"/>
      <c r="L65" s="77"/>
      <c r="M65" s="77"/>
      <c r="N65" s="77"/>
      <c r="O65" s="77"/>
    </row>
    <row r="66" spans="1:15" ht="15" x14ac:dyDescent="0.25">
      <c r="A66" s="99"/>
      <c r="B66" s="99"/>
      <c r="C66" s="99"/>
      <c r="D66" s="99"/>
      <c r="E66" s="99"/>
      <c r="F66" s="99"/>
      <c r="G66" s="99"/>
      <c r="H66" s="388"/>
      <c r="I66" s="99"/>
      <c r="J66" s="77"/>
      <c r="K66" s="77"/>
      <c r="L66" s="77"/>
      <c r="M66" s="77"/>
      <c r="N66" s="77"/>
      <c r="O66" s="77"/>
    </row>
    <row r="67" spans="1:15" ht="15" x14ac:dyDescent="0.25">
      <c r="A67" s="99"/>
      <c r="B67" s="99"/>
      <c r="C67" s="99"/>
      <c r="D67" s="99"/>
      <c r="E67" s="99"/>
      <c r="F67" s="99"/>
      <c r="G67" s="99"/>
      <c r="H67" s="388"/>
      <c r="I67" s="99"/>
      <c r="J67" s="77"/>
      <c r="K67" s="77"/>
      <c r="L67" s="77"/>
      <c r="M67" s="77"/>
      <c r="N67" s="77"/>
      <c r="O67" s="77"/>
    </row>
    <row r="68" spans="1:15" ht="15" x14ac:dyDescent="0.25">
      <c r="A68" s="99"/>
      <c r="B68" s="99"/>
      <c r="C68" s="99"/>
      <c r="D68" s="99"/>
      <c r="E68" s="99"/>
      <c r="F68" s="99"/>
      <c r="G68" s="99"/>
      <c r="H68" s="388"/>
      <c r="I68" s="99"/>
      <c r="J68" s="77"/>
      <c r="K68" s="77"/>
      <c r="L68" s="77"/>
      <c r="M68" s="77"/>
      <c r="N68" s="77"/>
      <c r="O68" s="77"/>
    </row>
    <row r="69" spans="1:15" ht="15" x14ac:dyDescent="0.25">
      <c r="A69" s="99"/>
      <c r="B69" s="99"/>
      <c r="C69" s="99"/>
      <c r="D69" s="99"/>
      <c r="E69" s="99"/>
      <c r="F69" s="99"/>
      <c r="G69" s="99"/>
      <c r="H69" s="388"/>
      <c r="I69" s="99"/>
      <c r="J69" s="77"/>
      <c r="K69" s="77"/>
      <c r="L69" s="77"/>
      <c r="M69" s="77"/>
      <c r="N69" s="77"/>
      <c r="O69" s="77"/>
    </row>
    <row r="70" spans="1:15" ht="15" x14ac:dyDescent="0.25">
      <c r="A70" s="99"/>
      <c r="B70" s="99"/>
      <c r="C70" s="99"/>
      <c r="D70" s="99"/>
      <c r="E70" s="99"/>
      <c r="F70" s="99"/>
      <c r="G70" s="99"/>
      <c r="H70" s="388"/>
      <c r="I70" s="99"/>
      <c r="J70" s="77"/>
      <c r="K70" s="77"/>
      <c r="L70" s="77"/>
      <c r="M70" s="77"/>
      <c r="N70" s="77"/>
      <c r="O70" s="77"/>
    </row>
    <row r="71" spans="1:15" ht="15" x14ac:dyDescent="0.25">
      <c r="A71" s="99"/>
      <c r="B71" s="99"/>
      <c r="C71" s="99"/>
      <c r="D71" s="99"/>
      <c r="E71" s="99"/>
      <c r="F71" s="99"/>
      <c r="G71" s="99"/>
      <c r="H71" s="388"/>
      <c r="I71" s="99"/>
      <c r="J71" s="77"/>
      <c r="K71" s="77"/>
      <c r="L71" s="77"/>
      <c r="M71" s="77"/>
      <c r="N71" s="77"/>
      <c r="O71" s="77"/>
    </row>
    <row r="72" spans="1:15" ht="15" x14ac:dyDescent="0.25">
      <c r="A72" s="99"/>
      <c r="B72" s="99"/>
      <c r="C72" s="99"/>
      <c r="D72" s="99"/>
      <c r="E72" s="99"/>
      <c r="F72" s="99"/>
      <c r="G72" s="99"/>
      <c r="H72" s="388"/>
      <c r="I72" s="99"/>
      <c r="J72" s="77"/>
      <c r="K72" s="77"/>
      <c r="L72" s="77"/>
      <c r="M72" s="77"/>
      <c r="N72" s="77"/>
      <c r="O72" s="77"/>
    </row>
    <row r="73" spans="1:15" ht="15" x14ac:dyDescent="0.25">
      <c r="A73" s="99"/>
      <c r="B73" s="99"/>
      <c r="C73" s="99"/>
      <c r="D73" s="99"/>
      <c r="E73" s="99"/>
      <c r="F73" s="99"/>
      <c r="G73" s="99"/>
      <c r="H73" s="388"/>
      <c r="I73" s="99"/>
      <c r="J73" s="77"/>
      <c r="K73" s="77"/>
      <c r="L73" s="77"/>
      <c r="M73" s="77"/>
      <c r="N73" s="77"/>
      <c r="O73" s="77"/>
    </row>
    <row r="74" spans="1:15" ht="15" x14ac:dyDescent="0.25">
      <c r="A74" s="99"/>
      <c r="B74" s="99"/>
      <c r="C74" s="99"/>
      <c r="D74" s="99"/>
      <c r="E74" s="99"/>
      <c r="F74" s="99"/>
      <c r="G74" s="99"/>
      <c r="H74" s="388"/>
      <c r="I74" s="99"/>
      <c r="J74" s="77"/>
      <c r="K74" s="77"/>
      <c r="L74" s="77"/>
      <c r="M74" s="77"/>
      <c r="N74" s="77"/>
      <c r="O74" s="77"/>
    </row>
    <row r="75" spans="1:15" ht="15" x14ac:dyDescent="0.25">
      <c r="A75" s="99"/>
      <c r="B75" s="99"/>
      <c r="C75" s="99"/>
      <c r="D75" s="99"/>
      <c r="E75" s="99"/>
      <c r="F75" s="99"/>
      <c r="G75" s="99"/>
      <c r="H75" s="388"/>
      <c r="I75" s="99"/>
      <c r="J75" s="77"/>
      <c r="K75" s="77"/>
      <c r="L75" s="77"/>
      <c r="M75" s="77"/>
      <c r="N75" s="77"/>
      <c r="O75" s="77"/>
    </row>
    <row r="76" spans="1:15" ht="15" x14ac:dyDescent="0.25">
      <c r="A76" s="99"/>
      <c r="B76" s="99"/>
      <c r="C76" s="99"/>
      <c r="D76" s="99"/>
      <c r="E76" s="99"/>
      <c r="F76" s="99"/>
      <c r="G76" s="99"/>
      <c r="H76" s="388"/>
      <c r="I76" s="99"/>
      <c r="J76" s="77"/>
      <c r="K76" s="77"/>
      <c r="L76" s="77"/>
      <c r="M76" s="77"/>
      <c r="N76" s="77"/>
      <c r="O76" s="77"/>
    </row>
    <row r="77" spans="1:15" ht="15" x14ac:dyDescent="0.25">
      <c r="A77" s="99"/>
      <c r="B77" s="99"/>
      <c r="C77" s="99"/>
      <c r="D77" s="99"/>
      <c r="E77" s="99"/>
      <c r="F77" s="99"/>
      <c r="G77" s="99"/>
      <c r="H77" s="388"/>
      <c r="I77" s="99"/>
      <c r="J77" s="77"/>
      <c r="K77" s="77"/>
      <c r="L77" s="77"/>
      <c r="M77" s="77"/>
      <c r="N77" s="77"/>
      <c r="O77" s="77"/>
    </row>
    <row r="78" spans="1:15" ht="15" x14ac:dyDescent="0.25">
      <c r="A78" s="99"/>
      <c r="B78" s="99"/>
      <c r="C78" s="99"/>
      <c r="D78" s="99"/>
      <c r="E78" s="99"/>
      <c r="F78" s="99"/>
      <c r="G78" s="99"/>
      <c r="H78" s="388"/>
      <c r="I78" s="99"/>
      <c r="J78" s="77"/>
      <c r="K78" s="77"/>
      <c r="L78" s="77"/>
      <c r="M78" s="77"/>
      <c r="N78" s="77"/>
      <c r="O78" s="77"/>
    </row>
    <row r="79" spans="1:15" ht="15" x14ac:dyDescent="0.25">
      <c r="A79" s="99"/>
      <c r="B79" s="99"/>
      <c r="C79" s="99"/>
      <c r="D79" s="99"/>
      <c r="E79" s="99"/>
      <c r="F79" s="99"/>
      <c r="G79" s="99"/>
      <c r="H79" s="388"/>
      <c r="I79" s="99"/>
      <c r="J79" s="77"/>
      <c r="K79" s="77"/>
      <c r="L79" s="77"/>
      <c r="M79" s="77"/>
      <c r="N79" s="77"/>
      <c r="O79" s="77"/>
    </row>
    <row r="80" spans="1:15" ht="15" x14ac:dyDescent="0.25">
      <c r="A80" s="99"/>
      <c r="B80" s="99"/>
      <c r="C80" s="99"/>
      <c r="D80" s="99"/>
      <c r="E80" s="99"/>
      <c r="F80" s="99"/>
      <c r="G80" s="99"/>
      <c r="H80" s="388"/>
      <c r="I80" s="99"/>
      <c r="J80" s="77"/>
      <c r="K80" s="77"/>
      <c r="L80" s="77"/>
      <c r="M80" s="77"/>
      <c r="N80" s="77"/>
      <c r="O80" s="77"/>
    </row>
    <row r="81" spans="1:15" ht="15" x14ac:dyDescent="0.25">
      <c r="A81" s="99"/>
      <c r="B81" s="99"/>
      <c r="C81" s="99"/>
      <c r="D81" s="99"/>
      <c r="E81" s="99"/>
      <c r="F81" s="99"/>
      <c r="G81" s="99"/>
      <c r="H81" s="388"/>
      <c r="I81" s="99"/>
      <c r="J81" s="77"/>
      <c r="K81" s="77"/>
      <c r="L81" s="77"/>
      <c r="M81" s="77"/>
      <c r="N81" s="77"/>
      <c r="O81" s="77"/>
    </row>
    <row r="82" spans="1:15" ht="15" x14ac:dyDescent="0.25">
      <c r="A82" s="99"/>
      <c r="B82" s="99"/>
      <c r="C82" s="99"/>
      <c r="D82" s="99"/>
      <c r="E82" s="99"/>
      <c r="F82" s="99"/>
      <c r="G82" s="99"/>
      <c r="H82" s="388"/>
      <c r="I82" s="99"/>
      <c r="J82" s="77"/>
      <c r="K82" s="77"/>
      <c r="L82" s="77"/>
      <c r="M82" s="77"/>
      <c r="N82" s="77"/>
      <c r="O82" s="77"/>
    </row>
    <row r="83" spans="1:15" ht="15" x14ac:dyDescent="0.25">
      <c r="A83" s="99"/>
      <c r="B83" s="99"/>
      <c r="C83" s="99"/>
      <c r="D83" s="99"/>
      <c r="E83" s="99"/>
      <c r="F83" s="99"/>
      <c r="G83" s="99"/>
      <c r="H83" s="388"/>
      <c r="I83" s="99"/>
      <c r="J83" s="77"/>
      <c r="K83" s="77"/>
      <c r="L83" s="77"/>
      <c r="M83" s="77"/>
      <c r="N83" s="77"/>
      <c r="O83" s="77"/>
    </row>
    <row r="84" spans="1:15" ht="15" x14ac:dyDescent="0.25">
      <c r="A84" s="99"/>
      <c r="B84" s="99"/>
      <c r="C84" s="99"/>
      <c r="D84" s="99"/>
      <c r="E84" s="99"/>
      <c r="F84" s="99"/>
      <c r="G84" s="99"/>
      <c r="H84" s="388"/>
      <c r="I84" s="99"/>
      <c r="J84" s="77"/>
      <c r="K84" s="77"/>
      <c r="L84" s="77"/>
      <c r="M84" s="77"/>
      <c r="N84" s="77"/>
      <c r="O84" s="77"/>
    </row>
    <row r="85" spans="1:15" ht="15" x14ac:dyDescent="0.25">
      <c r="A85" s="99"/>
      <c r="B85" s="99"/>
      <c r="C85" s="99"/>
      <c r="D85" s="99"/>
      <c r="E85" s="99"/>
      <c r="F85" s="99"/>
      <c r="G85" s="99"/>
      <c r="H85" s="388"/>
      <c r="I85" s="99"/>
      <c r="J85" s="77"/>
      <c r="K85" s="77"/>
      <c r="L85" s="77"/>
      <c r="M85" s="77"/>
      <c r="N85" s="77"/>
      <c r="O85" s="77"/>
    </row>
    <row r="86" spans="1:15" ht="15" x14ac:dyDescent="0.25">
      <c r="A86" s="99"/>
      <c r="B86" s="99"/>
      <c r="C86" s="99"/>
      <c r="D86" s="99"/>
      <c r="E86" s="99"/>
      <c r="F86" s="99"/>
      <c r="G86" s="99"/>
      <c r="H86" s="388"/>
      <c r="I86" s="99"/>
      <c r="J86" s="77"/>
      <c r="K86" s="77"/>
      <c r="L86" s="77"/>
      <c r="M86" s="77"/>
      <c r="N86" s="77"/>
      <c r="O86" s="77"/>
    </row>
    <row r="87" spans="1:15" ht="15" x14ac:dyDescent="0.25">
      <c r="A87" s="99"/>
      <c r="B87" s="99"/>
      <c r="C87" s="99"/>
      <c r="D87" s="99"/>
      <c r="E87" s="99"/>
      <c r="F87" s="99"/>
      <c r="G87" s="99"/>
      <c r="H87" s="388"/>
      <c r="I87" s="99"/>
      <c r="J87" s="77"/>
      <c r="K87" s="77"/>
      <c r="L87" s="77"/>
      <c r="M87" s="77"/>
      <c r="N87" s="77"/>
      <c r="O87" s="77"/>
    </row>
    <row r="88" spans="1:15" ht="15" x14ac:dyDescent="0.25">
      <c r="A88" s="99"/>
      <c r="B88" s="99"/>
      <c r="C88" s="99"/>
      <c r="D88" s="99"/>
      <c r="E88" s="99"/>
      <c r="F88" s="99"/>
      <c r="G88" s="99"/>
      <c r="H88" s="388"/>
      <c r="I88" s="99"/>
      <c r="J88" s="77"/>
      <c r="K88" s="77"/>
      <c r="L88" s="77"/>
      <c r="M88" s="77"/>
      <c r="N88" s="77"/>
      <c r="O88" s="77"/>
    </row>
    <row r="89" spans="1:15" ht="15" x14ac:dyDescent="0.25">
      <c r="A89" s="99"/>
      <c r="B89" s="99"/>
      <c r="C89" s="99"/>
      <c r="D89" s="99"/>
      <c r="E89" s="99"/>
      <c r="F89" s="99"/>
      <c r="G89" s="99"/>
      <c r="H89" s="388"/>
      <c r="I89" s="99"/>
      <c r="J89" s="77"/>
      <c r="K89" s="77"/>
      <c r="L89" s="77"/>
      <c r="M89" s="77"/>
      <c r="N89" s="77"/>
      <c r="O89" s="77"/>
    </row>
    <row r="90" spans="1:15" ht="15" x14ac:dyDescent="0.25">
      <c r="A90" s="99"/>
      <c r="B90" s="99"/>
      <c r="C90" s="99"/>
      <c r="D90" s="99"/>
      <c r="E90" s="99"/>
      <c r="F90" s="99"/>
      <c r="G90" s="99"/>
      <c r="H90" s="388"/>
      <c r="I90" s="99"/>
      <c r="J90" s="77"/>
      <c r="K90" s="77"/>
      <c r="L90" s="77"/>
      <c r="M90" s="77"/>
      <c r="N90" s="77"/>
      <c r="O90" s="77"/>
    </row>
    <row r="91" spans="1:15" ht="15" x14ac:dyDescent="0.25">
      <c r="A91" s="99"/>
      <c r="B91" s="99"/>
      <c r="C91" s="99"/>
      <c r="D91" s="99"/>
      <c r="E91" s="99"/>
      <c r="F91" s="99"/>
      <c r="G91" s="99"/>
      <c r="H91" s="388"/>
      <c r="I91" s="99"/>
      <c r="J91" s="77"/>
      <c r="K91" s="77"/>
      <c r="L91" s="77"/>
      <c r="M91" s="77"/>
      <c r="N91" s="77"/>
      <c r="O91" s="77"/>
    </row>
    <row r="92" spans="1:15" ht="15" x14ac:dyDescent="0.25">
      <c r="A92" s="99"/>
      <c r="B92" s="99"/>
      <c r="C92" s="99"/>
      <c r="D92" s="99"/>
      <c r="E92" s="99"/>
      <c r="F92" s="99"/>
      <c r="G92" s="99"/>
      <c r="H92" s="388"/>
      <c r="I92" s="99"/>
      <c r="J92" s="77"/>
      <c r="K92" s="77"/>
      <c r="L92" s="77"/>
      <c r="M92" s="77"/>
      <c r="N92" s="77"/>
      <c r="O92" s="77"/>
    </row>
    <row r="93" spans="1:15" ht="15" x14ac:dyDescent="0.25">
      <c r="A93" s="99"/>
      <c r="B93" s="99"/>
      <c r="C93" s="99"/>
      <c r="D93" s="99"/>
      <c r="E93" s="99"/>
      <c r="F93" s="99"/>
      <c r="G93" s="99"/>
      <c r="H93" s="388"/>
      <c r="I93" s="99"/>
      <c r="J93" s="77"/>
      <c r="K93" s="77"/>
      <c r="L93" s="77"/>
      <c r="M93" s="77"/>
      <c r="N93" s="77"/>
      <c r="O93" s="77"/>
    </row>
    <row r="94" spans="1:15" ht="15" x14ac:dyDescent="0.25">
      <c r="A94" s="99"/>
      <c r="B94" s="99"/>
      <c r="C94" s="99"/>
      <c r="D94" s="99"/>
      <c r="E94" s="99"/>
      <c r="F94" s="99"/>
      <c r="G94" s="99"/>
      <c r="H94" s="388"/>
      <c r="I94" s="99"/>
      <c r="J94" s="77"/>
      <c r="K94" s="77"/>
      <c r="L94" s="77"/>
      <c r="M94" s="77"/>
      <c r="N94" s="77"/>
      <c r="O94" s="77"/>
    </row>
    <row r="95" spans="1:15" ht="15" x14ac:dyDescent="0.25">
      <c r="A95" s="99"/>
      <c r="B95" s="99"/>
      <c r="C95" s="99"/>
      <c r="D95" s="99"/>
      <c r="E95" s="99"/>
      <c r="F95" s="99"/>
      <c r="G95" s="99"/>
      <c r="H95" s="388"/>
      <c r="I95" s="99"/>
      <c r="J95" s="77"/>
      <c r="K95" s="77"/>
      <c r="L95" s="77"/>
      <c r="M95" s="77"/>
      <c r="N95" s="77"/>
      <c r="O95" s="77"/>
    </row>
    <row r="96" spans="1:15" ht="15" x14ac:dyDescent="0.25">
      <c r="A96" s="99"/>
      <c r="B96" s="99"/>
      <c r="C96" s="99"/>
      <c r="D96" s="99"/>
      <c r="E96" s="99"/>
      <c r="F96" s="99"/>
      <c r="G96" s="99"/>
      <c r="H96" s="388"/>
      <c r="I96" s="99"/>
      <c r="J96" s="77"/>
      <c r="K96" s="77"/>
      <c r="L96" s="77"/>
      <c r="M96" s="77"/>
      <c r="N96" s="77"/>
      <c r="O96" s="77"/>
    </row>
    <row r="97" spans="1:15" ht="15" x14ac:dyDescent="0.25">
      <c r="A97" s="99"/>
      <c r="B97" s="99"/>
      <c r="C97" s="99"/>
      <c r="D97" s="99"/>
      <c r="E97" s="99"/>
      <c r="F97" s="99"/>
      <c r="G97" s="99"/>
      <c r="H97" s="388"/>
      <c r="I97" s="99"/>
      <c r="J97" s="77"/>
      <c r="K97" s="77"/>
      <c r="L97" s="77"/>
      <c r="M97" s="77"/>
      <c r="N97" s="77"/>
      <c r="O97" s="77"/>
    </row>
    <row r="98" spans="1:15" ht="15" x14ac:dyDescent="0.25">
      <c r="A98" s="99"/>
      <c r="B98" s="99"/>
      <c r="C98" s="99"/>
      <c r="D98" s="99"/>
      <c r="E98" s="99"/>
      <c r="F98" s="99"/>
      <c r="G98" s="99"/>
      <c r="H98" s="388"/>
      <c r="I98" s="99"/>
      <c r="J98" s="77"/>
      <c r="K98" s="77"/>
      <c r="L98" s="77"/>
      <c r="M98" s="77"/>
      <c r="N98" s="77"/>
      <c r="O98" s="77"/>
    </row>
    <row r="99" spans="1:15" ht="15" x14ac:dyDescent="0.25">
      <c r="A99" s="99"/>
      <c r="B99" s="99"/>
      <c r="C99" s="99"/>
      <c r="D99" s="99"/>
      <c r="E99" s="99"/>
      <c r="F99" s="99"/>
      <c r="G99" s="99"/>
      <c r="H99" s="388"/>
      <c r="I99" s="99"/>
      <c r="J99" s="77"/>
      <c r="K99" s="77"/>
      <c r="L99" s="77"/>
      <c r="M99" s="77"/>
      <c r="N99" s="77"/>
      <c r="O99" s="77"/>
    </row>
    <row r="100" spans="1:15" ht="15.6" thickBot="1" x14ac:dyDescent="0.3">
      <c r="A100" s="99"/>
      <c r="B100" s="99"/>
      <c r="C100" s="99"/>
      <c r="D100" s="99"/>
      <c r="E100" s="99"/>
      <c r="F100" s="99"/>
      <c r="G100" s="99"/>
      <c r="H100" s="388"/>
      <c r="I100" s="99"/>
      <c r="J100" s="77"/>
      <c r="K100" s="77"/>
      <c r="L100" s="77"/>
      <c r="M100" s="77"/>
      <c r="N100" s="77"/>
      <c r="O100" s="77"/>
    </row>
    <row r="101" spans="1:15" ht="15" x14ac:dyDescent="0.25">
      <c r="A101" s="894" t="s">
        <v>195</v>
      </c>
      <c r="B101" s="895"/>
      <c r="C101" s="895"/>
      <c r="D101" s="895"/>
      <c r="E101" s="895"/>
      <c r="F101" s="896"/>
      <c r="G101" s="99"/>
      <c r="H101" s="388"/>
      <c r="I101" s="99"/>
      <c r="J101" s="77"/>
      <c r="K101" s="77"/>
      <c r="L101" s="77"/>
      <c r="M101" s="77"/>
      <c r="N101" s="77"/>
      <c r="O101" s="77"/>
    </row>
    <row r="102" spans="1:15" ht="15.6" thickBot="1" x14ac:dyDescent="0.3">
      <c r="A102" s="897"/>
      <c r="B102" s="898"/>
      <c r="C102" s="898"/>
      <c r="D102" s="898"/>
      <c r="E102" s="898"/>
      <c r="F102" s="899"/>
      <c r="G102" s="99"/>
      <c r="H102" s="388"/>
      <c r="I102" s="99"/>
      <c r="J102" s="77"/>
      <c r="K102" s="77"/>
      <c r="L102" s="77"/>
      <c r="M102" s="77"/>
      <c r="N102" s="77"/>
      <c r="O102" s="77"/>
    </row>
    <row r="103" spans="1:15" ht="15" x14ac:dyDescent="0.25">
      <c r="A103" s="162" t="s">
        <v>5</v>
      </c>
      <c r="B103" s="161" t="s">
        <v>6</v>
      </c>
      <c r="C103" s="161" t="s">
        <v>13</v>
      </c>
      <c r="D103" s="161" t="s">
        <v>82</v>
      </c>
      <c r="E103" s="161" t="s">
        <v>115</v>
      </c>
      <c r="F103" s="163" t="s">
        <v>116</v>
      </c>
      <c r="G103" s="99"/>
      <c r="H103" s="388"/>
      <c r="I103" s="99"/>
      <c r="J103" s="77"/>
      <c r="K103" s="77"/>
      <c r="L103" s="77"/>
      <c r="M103" s="77"/>
      <c r="N103" s="77"/>
      <c r="O103" s="77"/>
    </row>
    <row r="104" spans="1:15" ht="15" x14ac:dyDescent="0.25">
      <c r="A104" s="396" t="s">
        <v>239</v>
      </c>
      <c r="B104" s="106"/>
      <c r="C104" s="106"/>
      <c r="D104" s="106"/>
      <c r="E104" s="106"/>
      <c r="F104" s="107"/>
      <c r="G104" s="99"/>
      <c r="H104" s="388"/>
      <c r="I104" s="99"/>
      <c r="J104" s="77"/>
      <c r="K104" s="77"/>
      <c r="L104" s="77"/>
      <c r="M104" s="77"/>
      <c r="N104" s="77"/>
      <c r="O104" s="77"/>
    </row>
    <row r="105" spans="1:15" ht="30" x14ac:dyDescent="0.25">
      <c r="A105" s="396" t="s">
        <v>91</v>
      </c>
      <c r="B105" s="106" t="s">
        <v>190</v>
      </c>
      <c r="C105" s="106" t="s">
        <v>18</v>
      </c>
      <c r="D105" s="106" t="s">
        <v>8</v>
      </c>
      <c r="E105" s="106" t="s">
        <v>36</v>
      </c>
      <c r="F105" s="107" t="s">
        <v>29</v>
      </c>
      <c r="G105" s="99"/>
      <c r="H105" s="388"/>
      <c r="I105" s="99"/>
      <c r="J105" s="77"/>
      <c r="K105" s="77"/>
      <c r="L105" s="77"/>
      <c r="M105" s="77"/>
      <c r="N105" s="77"/>
      <c r="O105" s="77"/>
    </row>
    <row r="106" spans="1:15" ht="30" x14ac:dyDescent="0.25">
      <c r="A106" s="397" t="s">
        <v>27</v>
      </c>
      <c r="B106" s="106" t="s">
        <v>192</v>
      </c>
      <c r="C106" s="106" t="s">
        <v>15</v>
      </c>
      <c r="D106" s="106" t="s">
        <v>84</v>
      </c>
      <c r="E106" s="106" t="s">
        <v>35</v>
      </c>
      <c r="F106" s="107" t="s">
        <v>28</v>
      </c>
      <c r="G106" s="99"/>
      <c r="H106" s="388"/>
      <c r="I106" s="99"/>
      <c r="J106" s="77"/>
      <c r="K106" s="77"/>
      <c r="L106" s="77"/>
      <c r="M106" s="77"/>
      <c r="N106" s="77"/>
      <c r="O106" s="77"/>
    </row>
    <row r="107" spans="1:15" ht="30" x14ac:dyDescent="0.25">
      <c r="A107" s="397" t="s">
        <v>125</v>
      </c>
      <c r="B107" s="106" t="s">
        <v>191</v>
      </c>
      <c r="C107" s="106" t="s">
        <v>16</v>
      </c>
      <c r="D107" s="106"/>
      <c r="E107" s="106" t="s">
        <v>46</v>
      </c>
      <c r="F107" s="107" t="s">
        <v>34</v>
      </c>
      <c r="G107" s="99"/>
      <c r="H107" s="388"/>
      <c r="I107" s="99"/>
      <c r="J107" s="77"/>
      <c r="K107" s="77"/>
      <c r="L107" s="77"/>
      <c r="M107" s="77"/>
      <c r="N107" s="77"/>
      <c r="O107" s="77"/>
    </row>
    <row r="108" spans="1:15" ht="15" x14ac:dyDescent="0.25">
      <c r="A108" s="396" t="s">
        <v>128</v>
      </c>
      <c r="B108" s="106" t="s">
        <v>193</v>
      </c>
      <c r="C108" s="106" t="s">
        <v>20</v>
      </c>
      <c r="D108" s="106"/>
      <c r="E108" s="106" t="s">
        <v>44</v>
      </c>
      <c r="F108" s="107" t="s">
        <v>142</v>
      </c>
      <c r="G108" s="99"/>
      <c r="H108" s="388"/>
      <c r="I108" s="99"/>
      <c r="J108" s="77"/>
      <c r="K108" s="77"/>
      <c r="L108" s="77"/>
      <c r="M108" s="77"/>
      <c r="N108" s="77"/>
      <c r="O108" s="77"/>
    </row>
    <row r="109" spans="1:15" ht="15" x14ac:dyDescent="0.25">
      <c r="A109" s="397" t="s">
        <v>326</v>
      </c>
      <c r="B109" s="106"/>
      <c r="C109" s="106" t="s">
        <v>19</v>
      </c>
      <c r="D109" s="106"/>
      <c r="E109" s="106" t="s">
        <v>37</v>
      </c>
      <c r="F109" s="107" t="s">
        <v>30</v>
      </c>
      <c r="G109" s="99"/>
      <c r="H109" s="388"/>
      <c r="I109" s="99"/>
      <c r="J109" s="77"/>
      <c r="K109" s="77"/>
      <c r="L109" s="77"/>
      <c r="M109" s="77"/>
      <c r="N109" s="77"/>
      <c r="O109" s="77"/>
    </row>
    <row r="110" spans="1:15" ht="30" x14ac:dyDescent="0.25">
      <c r="A110" s="396" t="s">
        <v>308</v>
      </c>
      <c r="B110" s="106"/>
      <c r="C110" s="106" t="s">
        <v>21</v>
      </c>
      <c r="D110" s="106"/>
      <c r="E110" s="106" t="s">
        <v>117</v>
      </c>
      <c r="F110" s="107" t="s">
        <v>121</v>
      </c>
      <c r="G110" s="99"/>
      <c r="H110" s="388"/>
      <c r="I110" s="99"/>
      <c r="J110" s="77"/>
      <c r="K110" s="77"/>
      <c r="L110" s="77"/>
      <c r="M110" s="77"/>
      <c r="N110" s="77"/>
      <c r="O110" s="77"/>
    </row>
    <row r="111" spans="1:15" ht="30" x14ac:dyDescent="0.25">
      <c r="A111" s="396" t="s">
        <v>309</v>
      </c>
      <c r="B111" s="106"/>
      <c r="C111" s="106" t="s">
        <v>14</v>
      </c>
      <c r="D111" s="106"/>
      <c r="E111" s="106" t="s">
        <v>42</v>
      </c>
      <c r="F111" s="107" t="s">
        <v>40</v>
      </c>
      <c r="G111" s="99"/>
      <c r="H111" s="388"/>
      <c r="I111" s="99"/>
      <c r="J111" s="77"/>
      <c r="K111" s="77"/>
      <c r="L111" s="77"/>
      <c r="M111" s="77"/>
      <c r="N111" s="77"/>
      <c r="O111" s="77"/>
    </row>
    <row r="112" spans="1:15" ht="30" x14ac:dyDescent="0.25">
      <c r="A112" s="396" t="s">
        <v>307</v>
      </c>
      <c r="B112" s="106"/>
      <c r="C112" s="106" t="s">
        <v>17</v>
      </c>
      <c r="D112" s="106"/>
      <c r="E112" s="106" t="s">
        <v>38</v>
      </c>
      <c r="F112" s="107" t="s">
        <v>31</v>
      </c>
      <c r="G112" s="99"/>
      <c r="H112" s="388"/>
      <c r="I112" s="99"/>
      <c r="J112" s="77"/>
      <c r="K112" s="77"/>
      <c r="L112" s="77"/>
      <c r="M112" s="77"/>
      <c r="N112" s="77"/>
      <c r="O112" s="77"/>
    </row>
    <row r="113" spans="1:15" ht="15" x14ac:dyDescent="0.25">
      <c r="A113" s="397" t="s">
        <v>4</v>
      </c>
      <c r="B113" s="106"/>
      <c r="C113" s="106"/>
      <c r="D113" s="106"/>
      <c r="E113" s="106" t="s">
        <v>41</v>
      </c>
      <c r="F113" s="107" t="s">
        <v>39</v>
      </c>
      <c r="G113" s="99"/>
      <c r="H113" s="388"/>
      <c r="I113" s="99"/>
      <c r="J113" s="77"/>
      <c r="K113" s="77"/>
      <c r="L113" s="77"/>
      <c r="M113" s="77"/>
      <c r="N113" s="77"/>
      <c r="O113" s="77"/>
    </row>
    <row r="114" spans="1:15" ht="15" x14ac:dyDescent="0.25">
      <c r="A114" s="397" t="s">
        <v>126</v>
      </c>
      <c r="B114" s="106"/>
      <c r="C114" s="106"/>
      <c r="D114" s="106"/>
      <c r="E114" s="106" t="s">
        <v>43</v>
      </c>
      <c r="F114" s="107" t="s">
        <v>120</v>
      </c>
      <c r="G114" s="99"/>
      <c r="H114" s="388"/>
      <c r="I114" s="99"/>
      <c r="J114" s="77"/>
      <c r="K114" s="77"/>
      <c r="L114" s="77"/>
      <c r="M114" s="77"/>
      <c r="N114" s="77"/>
      <c r="O114" s="77"/>
    </row>
    <row r="115" spans="1:15" x14ac:dyDescent="0.25">
      <c r="A115" s="2" t="s">
        <v>238</v>
      </c>
      <c r="B115" s="2"/>
      <c r="C115" s="2"/>
      <c r="D115" s="2"/>
      <c r="E115" s="2" t="s">
        <v>118</v>
      </c>
      <c r="F115" s="2" t="s">
        <v>122</v>
      </c>
      <c r="G115" s="2"/>
      <c r="H115" s="3"/>
      <c r="I115" s="2"/>
    </row>
    <row r="116" spans="1:15" x14ac:dyDescent="0.25">
      <c r="A116" s="2" t="s">
        <v>183</v>
      </c>
      <c r="B116" s="2"/>
      <c r="C116" s="2"/>
      <c r="D116" s="2"/>
      <c r="E116" s="2" t="s">
        <v>45</v>
      </c>
      <c r="F116" s="2" t="s">
        <v>32</v>
      </c>
      <c r="G116" s="2"/>
      <c r="H116" s="3"/>
      <c r="I116" s="2"/>
    </row>
    <row r="117" spans="1:15" ht="15" x14ac:dyDescent="0.25">
      <c r="A117" s="2"/>
      <c r="B117" s="2"/>
      <c r="C117" s="2"/>
      <c r="D117" s="2"/>
      <c r="E117" s="106" t="s">
        <v>142</v>
      </c>
      <c r="F117" s="2"/>
      <c r="G117" s="2"/>
      <c r="H117" s="3"/>
      <c r="I117" s="2"/>
    </row>
    <row r="118" spans="1:15" x14ac:dyDescent="0.25">
      <c r="A118" s="2"/>
      <c r="B118" s="2"/>
      <c r="C118" s="2"/>
      <c r="D118" s="2"/>
      <c r="E118" s="2"/>
      <c r="F118" s="2"/>
      <c r="G118" s="2"/>
      <c r="H118" s="3"/>
      <c r="I118" s="2"/>
    </row>
    <row r="119" spans="1:15" x14ac:dyDescent="0.25">
      <c r="A119" s="2"/>
      <c r="B119" s="2"/>
      <c r="C119" s="2"/>
      <c r="D119" s="2"/>
      <c r="E119" s="2"/>
      <c r="F119" s="2"/>
      <c r="G119" s="2"/>
      <c r="H119" s="3"/>
      <c r="I119" s="2"/>
    </row>
    <row r="120" spans="1:15" x14ac:dyDescent="0.25">
      <c r="A120" s="2"/>
      <c r="B120" s="2"/>
      <c r="C120" s="2"/>
      <c r="D120" s="2"/>
      <c r="E120" s="2"/>
      <c r="F120" s="2"/>
      <c r="G120" s="2"/>
      <c r="H120" s="3"/>
      <c r="I120" s="2"/>
    </row>
    <row r="121" spans="1:15" x14ac:dyDescent="0.25">
      <c r="A121" s="2"/>
      <c r="B121" s="2"/>
      <c r="C121" s="2"/>
      <c r="D121" s="2"/>
      <c r="E121" s="2"/>
      <c r="F121" s="2"/>
      <c r="G121" s="2"/>
      <c r="H121" s="3"/>
      <c r="I121" s="2"/>
    </row>
    <row r="122" spans="1:15" x14ac:dyDescent="0.25">
      <c r="A122" s="2"/>
      <c r="B122" s="2"/>
      <c r="C122" s="2"/>
      <c r="D122" s="2"/>
      <c r="E122" s="2"/>
      <c r="F122" s="2"/>
      <c r="G122" s="2"/>
      <c r="H122" s="3"/>
      <c r="I122" s="2"/>
    </row>
    <row r="123" spans="1:15" x14ac:dyDescent="0.25">
      <c r="A123" s="2"/>
      <c r="B123" s="2"/>
      <c r="C123" s="2"/>
      <c r="D123" s="2"/>
      <c r="E123" s="2"/>
      <c r="F123" s="2"/>
      <c r="G123" s="2"/>
      <c r="H123" s="3"/>
      <c r="I123" s="2"/>
    </row>
    <row r="124" spans="1:15" ht="18" thickBot="1" x14ac:dyDescent="0.3">
      <c r="A124" s="900"/>
      <c r="B124" s="900"/>
      <c r="C124" s="900"/>
      <c r="D124" s="900"/>
      <c r="E124" s="900"/>
      <c r="F124" s="900"/>
      <c r="G124" s="900"/>
      <c r="H124" s="900"/>
      <c r="I124" s="900"/>
      <c r="J124" s="900"/>
      <c r="K124" s="900"/>
      <c r="L124" s="900"/>
      <c r="M124" s="900"/>
      <c r="N124" s="900"/>
      <c r="O124" s="900"/>
    </row>
    <row r="125" spans="1:15" x14ac:dyDescent="0.25">
      <c r="A125" s="2"/>
      <c r="B125" s="2"/>
      <c r="C125" s="2"/>
      <c r="D125" s="2"/>
      <c r="E125" s="2"/>
      <c r="F125" s="2"/>
      <c r="G125" s="2"/>
      <c r="H125" s="3"/>
      <c r="I125" s="2"/>
    </row>
    <row r="126" spans="1:15" x14ac:dyDescent="0.25">
      <c r="A126" s="2"/>
      <c r="B126" s="2"/>
      <c r="C126" s="2"/>
      <c r="D126" s="2"/>
      <c r="E126" s="2"/>
      <c r="F126" s="2"/>
      <c r="G126" s="2"/>
      <c r="H126" s="3"/>
      <c r="I126" s="2"/>
    </row>
    <row r="127" spans="1:15" x14ac:dyDescent="0.25">
      <c r="A127" s="2"/>
      <c r="B127" s="2"/>
      <c r="C127" s="2"/>
      <c r="D127" s="2"/>
      <c r="E127" s="2"/>
      <c r="F127" s="2"/>
      <c r="G127" s="2"/>
      <c r="H127" s="3"/>
      <c r="I127" s="2"/>
    </row>
    <row r="128" spans="1:15" x14ac:dyDescent="0.25">
      <c r="A128" s="2"/>
      <c r="B128" s="2"/>
      <c r="C128" s="2"/>
      <c r="D128" s="2"/>
      <c r="E128" s="2"/>
      <c r="F128" s="2"/>
      <c r="G128" s="2"/>
      <c r="H128" s="3"/>
      <c r="I128" s="2"/>
    </row>
    <row r="129" spans="1:9" x14ac:dyDescent="0.25">
      <c r="A129" s="2"/>
      <c r="B129" s="2"/>
      <c r="C129" s="2"/>
      <c r="D129" s="2"/>
      <c r="E129" s="2"/>
      <c r="F129" s="2"/>
      <c r="G129" s="2"/>
      <c r="H129" s="3"/>
      <c r="I129" s="2"/>
    </row>
  </sheetData>
  <mergeCells count="8">
    <mergeCell ref="A124:O124"/>
    <mergeCell ref="A101:F102"/>
    <mergeCell ref="A1:O1"/>
    <mergeCell ref="A3:O3"/>
    <mergeCell ref="A11:O11"/>
    <mergeCell ref="A35:O35"/>
    <mergeCell ref="A47:O47"/>
    <mergeCell ref="A48:F48"/>
  </mergeCells>
  <dataValidations count="7">
    <dataValidation type="list" allowBlank="1" showInputMessage="1" showErrorMessage="1" sqref="F5:F10 F14:F18 F37 F22:F31" xr:uid="{00000000-0002-0000-1600-000000000000}">
      <formula1>$E$110:$E$124</formula1>
    </dataValidation>
    <dataValidation type="list" allowBlank="1" showInputMessage="1" showErrorMessage="1" sqref="G5:G10 G14:G18 G37 G22:G31" xr:uid="{00000000-0002-0000-1600-000001000000}">
      <formula1>$C$110:$C$118</formula1>
    </dataValidation>
    <dataValidation type="list" allowBlank="1" showInputMessage="1" showErrorMessage="1" sqref="A5:A10 A37 A14:A18 A22:A31" xr:uid="{00000000-0002-0000-1600-000002000000}">
      <formula1>$D$110:$D$112</formula1>
    </dataValidation>
    <dataValidation type="list" allowBlank="1" showInputMessage="1" showErrorMessage="1" sqref="B5:B10 B22:B31 B14:B18 B37" xr:uid="{00000000-0002-0000-1600-000003000000}">
      <formula1>$B$110:$B$114</formula1>
    </dataValidation>
    <dataValidation type="list" allowBlank="1" showInputMessage="1" showErrorMessage="1" sqref="E5:E10 E22:E31 E37 E14:E18" xr:uid="{00000000-0002-0000-1600-000004000000}">
      <formula1>$F$110:$F$124</formula1>
    </dataValidation>
    <dataValidation type="list" allowBlank="1" showInputMessage="1" showErrorMessage="1" sqref="C22:D31 C14:D18 C37:D37 C5:D10" xr:uid="{00000000-0002-0000-1600-000005000000}">
      <formula1>$A$110:$A$122</formula1>
    </dataValidation>
    <dataValidation type="list" allowBlank="1" showInputMessage="1" showErrorMessage="1" sqref="E40 C39:D46" xr:uid="{00000000-0002-0000-1600-000006000000}">
      <formula1>#REF!</formula1>
    </dataValidation>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2">
    <tabColor rgb="FFFF5050"/>
  </sheetPr>
  <dimension ref="A1:EA129"/>
  <sheetViews>
    <sheetView topLeftCell="A16" zoomScale="70" zoomScaleNormal="70" workbookViewId="0">
      <selection activeCell="K6" sqref="K6"/>
    </sheetView>
  </sheetViews>
  <sheetFormatPr defaultColWidth="8.77734375" defaultRowHeight="13.2" x14ac:dyDescent="0.25"/>
  <cols>
    <col min="1" max="15" width="26.44140625" customWidth="1"/>
  </cols>
  <sheetData>
    <row r="1" spans="1:131" ht="18" thickBot="1" x14ac:dyDescent="0.3">
      <c r="A1" s="900" t="s">
        <v>310</v>
      </c>
      <c r="B1" s="900"/>
      <c r="C1" s="900"/>
      <c r="D1" s="900"/>
      <c r="E1" s="900"/>
      <c r="F1" s="900"/>
      <c r="G1" s="900"/>
      <c r="H1" s="900"/>
      <c r="I1" s="900"/>
      <c r="J1" s="900"/>
      <c r="K1" s="900"/>
      <c r="L1" s="900"/>
      <c r="M1" s="900"/>
      <c r="N1" s="900"/>
      <c r="O1" s="900"/>
    </row>
    <row r="2" spans="1:131" ht="17.399999999999999" x14ac:dyDescent="0.25">
      <c r="A2" s="495" t="s">
        <v>188</v>
      </c>
      <c r="B2" s="175"/>
      <c r="C2" s="495"/>
      <c r="D2" s="495"/>
      <c r="E2" s="495"/>
      <c r="F2" s="495"/>
      <c r="G2" s="495"/>
      <c r="H2" s="381"/>
      <c r="I2" s="495"/>
      <c r="J2" s="399"/>
      <c r="K2" s="399"/>
      <c r="L2" s="399"/>
      <c r="M2" s="399"/>
      <c r="N2" s="399"/>
      <c r="O2" s="399"/>
    </row>
    <row r="3" spans="1:131" ht="15" x14ac:dyDescent="0.25">
      <c r="A3" s="901" t="s">
        <v>204</v>
      </c>
      <c r="B3" s="902"/>
      <c r="C3" s="902"/>
      <c r="D3" s="902"/>
      <c r="E3" s="902"/>
      <c r="F3" s="902"/>
      <c r="G3" s="902"/>
      <c r="H3" s="902"/>
      <c r="I3" s="902"/>
      <c r="J3" s="902"/>
      <c r="K3" s="902"/>
      <c r="L3" s="902"/>
      <c r="M3" s="902"/>
      <c r="N3" s="902"/>
      <c r="O3" s="903"/>
    </row>
    <row r="4" spans="1:131" ht="60" x14ac:dyDescent="0.25">
      <c r="A4" s="176" t="s">
        <v>89</v>
      </c>
      <c r="B4" s="176" t="s">
        <v>90</v>
      </c>
      <c r="C4" s="177" t="s">
        <v>0</v>
      </c>
      <c r="D4" s="177" t="s">
        <v>124</v>
      </c>
      <c r="E4" s="176" t="s">
        <v>143</v>
      </c>
      <c r="F4" s="176" t="s">
        <v>144</v>
      </c>
      <c r="G4" s="176" t="s">
        <v>13</v>
      </c>
      <c r="H4" s="382" t="s">
        <v>88</v>
      </c>
      <c r="I4" s="176" t="s">
        <v>12</v>
      </c>
      <c r="J4" s="400" t="s">
        <v>158</v>
      </c>
      <c r="K4" s="400" t="s">
        <v>148</v>
      </c>
      <c r="L4" s="400" t="s">
        <v>180</v>
      </c>
      <c r="M4" s="400" t="s">
        <v>104</v>
      </c>
      <c r="N4" s="400" t="s">
        <v>179</v>
      </c>
      <c r="O4" s="400" t="s">
        <v>205</v>
      </c>
    </row>
    <row r="5" spans="1:131" ht="30" x14ac:dyDescent="0.25">
      <c r="A5" s="482" t="s">
        <v>84</v>
      </c>
      <c r="B5" s="482" t="s">
        <v>3</v>
      </c>
      <c r="C5" s="482" t="s">
        <v>307</v>
      </c>
      <c r="D5" s="482" t="s">
        <v>307</v>
      </c>
      <c r="E5" s="327" t="s">
        <v>120</v>
      </c>
      <c r="F5" s="457" t="s">
        <v>44</v>
      </c>
      <c r="G5" s="482" t="s">
        <v>14</v>
      </c>
      <c r="H5" s="483">
        <v>44423</v>
      </c>
      <c r="I5" s="482" t="s">
        <v>23</v>
      </c>
      <c r="J5" s="350">
        <v>143.66999999999999</v>
      </c>
      <c r="K5" s="350">
        <f>'Feb13'!K5</f>
        <v>118.16</v>
      </c>
      <c r="L5" s="350">
        <f t="shared" ref="L5:L8" si="0">N5-M5</f>
        <v>16.778828190000002</v>
      </c>
      <c r="M5" s="350">
        <f t="shared" ref="M5:N8" si="1">-DZ5/1000000</f>
        <v>0.52851844999999997</v>
      </c>
      <c r="N5" s="350">
        <f t="shared" si="1"/>
        <v>17.307346640000002</v>
      </c>
      <c r="O5" s="88"/>
      <c r="DZ5">
        <v>-528518.44999999995</v>
      </c>
      <c r="EA5">
        <v>-17307346.640000001</v>
      </c>
    </row>
    <row r="6" spans="1:131" ht="30" x14ac:dyDescent="0.25">
      <c r="A6" s="485" t="s">
        <v>84</v>
      </c>
      <c r="B6" s="485" t="s">
        <v>3</v>
      </c>
      <c r="C6" s="485" t="s">
        <v>307</v>
      </c>
      <c r="D6" s="485" t="s">
        <v>307</v>
      </c>
      <c r="E6" s="329" t="s">
        <v>120</v>
      </c>
      <c r="F6" s="458" t="s">
        <v>44</v>
      </c>
      <c r="G6" s="485" t="s">
        <v>14</v>
      </c>
      <c r="H6" s="93">
        <v>44576</v>
      </c>
      <c r="I6" s="485" t="s">
        <v>24</v>
      </c>
      <c r="J6" s="351">
        <v>27.4</v>
      </c>
      <c r="K6" s="351">
        <f>'Feb13'!K6</f>
        <v>25.83</v>
      </c>
      <c r="L6" s="351">
        <f t="shared" si="0"/>
        <v>4.2881900499999999</v>
      </c>
      <c r="M6" s="351">
        <f t="shared" si="1"/>
        <v>6.5178029999999998E-2</v>
      </c>
      <c r="N6" s="351">
        <f t="shared" si="1"/>
        <v>4.3533680800000001</v>
      </c>
      <c r="O6" s="96"/>
      <c r="DZ6">
        <v>-65178.03</v>
      </c>
      <c r="EA6">
        <v>-4353368.08</v>
      </c>
    </row>
    <row r="7" spans="1:131" ht="30" x14ac:dyDescent="0.25">
      <c r="A7" s="482" t="s">
        <v>84</v>
      </c>
      <c r="B7" s="482" t="s">
        <v>3</v>
      </c>
      <c r="C7" s="482" t="s">
        <v>308</v>
      </c>
      <c r="D7" s="482" t="s">
        <v>308</v>
      </c>
      <c r="E7" s="327" t="s">
        <v>39</v>
      </c>
      <c r="F7" s="457" t="s">
        <v>38</v>
      </c>
      <c r="G7" s="482" t="s">
        <v>14</v>
      </c>
      <c r="H7" s="483">
        <v>44576</v>
      </c>
      <c r="I7" s="482" t="s">
        <v>24</v>
      </c>
      <c r="J7" s="350">
        <v>26.85</v>
      </c>
      <c r="K7" s="350">
        <f>'Feb13'!K7</f>
        <v>25.38</v>
      </c>
      <c r="L7" s="350">
        <f t="shared" si="0"/>
        <v>4.2038341599999995</v>
      </c>
      <c r="M7" s="350">
        <f t="shared" si="1"/>
        <v>6.4029900000000001E-2</v>
      </c>
      <c r="N7" s="350">
        <f t="shared" si="1"/>
        <v>4.26786406</v>
      </c>
      <c r="O7" s="88"/>
      <c r="DZ7">
        <v>-64029.9</v>
      </c>
      <c r="EA7">
        <v>-4267864.0599999996</v>
      </c>
    </row>
    <row r="8" spans="1:131" ht="30" x14ac:dyDescent="0.25">
      <c r="A8" s="485" t="s">
        <v>84</v>
      </c>
      <c r="B8" s="485" t="s">
        <v>3</v>
      </c>
      <c r="C8" s="485" t="s">
        <v>309</v>
      </c>
      <c r="D8" s="485" t="s">
        <v>125</v>
      </c>
      <c r="E8" s="329" t="s">
        <v>39</v>
      </c>
      <c r="F8" s="458" t="s">
        <v>42</v>
      </c>
      <c r="G8" s="485" t="s">
        <v>14</v>
      </c>
      <c r="H8" s="93">
        <v>46296</v>
      </c>
      <c r="I8" s="485" t="s">
        <v>25</v>
      </c>
      <c r="J8" s="351">
        <v>40.880000000000003</v>
      </c>
      <c r="K8" s="351">
        <f>'Feb13'!K8</f>
        <v>37.659999999999997</v>
      </c>
      <c r="L8" s="351">
        <f t="shared" si="0"/>
        <v>6.2437673199999999</v>
      </c>
      <c r="M8" s="351">
        <f t="shared" si="1"/>
        <v>6.0445459999999999E-2</v>
      </c>
      <c r="N8" s="351">
        <f t="shared" si="1"/>
        <v>6.3042127800000003</v>
      </c>
      <c r="O8" s="96"/>
      <c r="DZ8">
        <v>-60445.46</v>
      </c>
      <c r="EA8">
        <v>-6304212.7800000003</v>
      </c>
    </row>
    <row r="9" spans="1:131" ht="15" x14ac:dyDescent="0.25">
      <c r="A9" s="111"/>
      <c r="B9" s="111"/>
      <c r="C9" s="111"/>
      <c r="D9" s="111"/>
      <c r="E9" s="123"/>
      <c r="F9" s="111"/>
      <c r="G9" s="111"/>
      <c r="H9" s="114"/>
      <c r="I9" s="111"/>
      <c r="J9" s="352"/>
      <c r="K9" s="352"/>
      <c r="L9" s="352"/>
      <c r="M9" s="352"/>
      <c r="N9" s="353"/>
      <c r="O9" s="353"/>
    </row>
    <row r="10" spans="1:131" ht="15" x14ac:dyDescent="0.25">
      <c r="A10" s="485"/>
      <c r="B10" s="485"/>
      <c r="C10" s="485"/>
      <c r="D10" s="485"/>
      <c r="E10" s="329"/>
      <c r="F10" s="485"/>
      <c r="G10" s="485"/>
      <c r="H10" s="93"/>
      <c r="I10" s="485"/>
      <c r="J10" s="351"/>
      <c r="K10" s="351"/>
      <c r="L10" s="351"/>
      <c r="M10" s="351"/>
      <c r="N10" s="96"/>
      <c r="O10" s="96"/>
    </row>
    <row r="11" spans="1:131" ht="15" x14ac:dyDescent="0.25">
      <c r="A11" s="901" t="s">
        <v>203</v>
      </c>
      <c r="B11" s="902"/>
      <c r="C11" s="902"/>
      <c r="D11" s="902"/>
      <c r="E11" s="902"/>
      <c r="F11" s="902"/>
      <c r="G11" s="902"/>
      <c r="H11" s="902"/>
      <c r="I11" s="902"/>
      <c r="J11" s="902"/>
      <c r="K11" s="902"/>
      <c r="L11" s="902"/>
      <c r="M11" s="902"/>
      <c r="N11" s="902"/>
      <c r="O11" s="903"/>
    </row>
    <row r="12" spans="1:131" ht="60" x14ac:dyDescent="0.25">
      <c r="A12" s="176" t="s">
        <v>89</v>
      </c>
      <c r="B12" s="176" t="s">
        <v>90</v>
      </c>
      <c r="C12" s="177" t="s">
        <v>0</v>
      </c>
      <c r="D12" s="180" t="s">
        <v>124</v>
      </c>
      <c r="E12" s="176" t="s">
        <v>143</v>
      </c>
      <c r="F12" s="176" t="s">
        <v>144</v>
      </c>
      <c r="G12" s="176" t="s">
        <v>13</v>
      </c>
      <c r="H12" s="382" t="s">
        <v>88</v>
      </c>
      <c r="I12" s="176" t="s">
        <v>12</v>
      </c>
      <c r="J12" s="400" t="s">
        <v>150</v>
      </c>
      <c r="K12" s="400" t="s">
        <v>151</v>
      </c>
      <c r="L12" s="400" t="s">
        <v>157</v>
      </c>
      <c r="M12" s="400" t="s">
        <v>149</v>
      </c>
      <c r="N12" s="400" t="s">
        <v>179</v>
      </c>
      <c r="O12" s="400" t="s">
        <v>205</v>
      </c>
    </row>
    <row r="13" spans="1:131" ht="15" x14ac:dyDescent="0.25">
      <c r="A13" s="184" t="s">
        <v>197</v>
      </c>
      <c r="B13" s="184"/>
      <c r="C13" s="185"/>
      <c r="D13" s="185"/>
      <c r="E13" s="184"/>
      <c r="F13" s="184"/>
      <c r="G13" s="184"/>
      <c r="H13" s="383"/>
      <c r="I13" s="184"/>
      <c r="J13" s="403"/>
      <c r="K13" s="403"/>
      <c r="L13" s="403"/>
      <c r="M13" s="403"/>
      <c r="N13" s="403"/>
      <c r="O13" s="404"/>
    </row>
    <row r="14" spans="1:131" ht="30" x14ac:dyDescent="0.25">
      <c r="A14" s="482" t="s">
        <v>8</v>
      </c>
      <c r="B14" s="485" t="s">
        <v>193</v>
      </c>
      <c r="C14" s="482" t="s">
        <v>239</v>
      </c>
      <c r="D14" s="482" t="s">
        <v>238</v>
      </c>
      <c r="E14" s="327" t="s">
        <v>32</v>
      </c>
      <c r="F14" s="327" t="s">
        <v>45</v>
      </c>
      <c r="G14" s="482" t="s">
        <v>22</v>
      </c>
      <c r="H14" s="483">
        <v>41455</v>
      </c>
      <c r="I14" s="482" t="s">
        <v>131</v>
      </c>
      <c r="J14" s="88">
        <v>26.77</v>
      </c>
      <c r="K14" s="88">
        <v>-22.21</v>
      </c>
      <c r="L14" s="488">
        <v>4.5599999999999987</v>
      </c>
      <c r="M14" s="88"/>
      <c r="N14" s="88"/>
      <c r="O14" s="88"/>
    </row>
    <row r="15" spans="1:131" ht="30" x14ac:dyDescent="0.25">
      <c r="A15" s="485" t="s">
        <v>8</v>
      </c>
      <c r="B15" s="485" t="s">
        <v>193</v>
      </c>
      <c r="C15" s="485" t="s">
        <v>239</v>
      </c>
      <c r="D15" s="485" t="s">
        <v>238</v>
      </c>
      <c r="E15" s="485" t="s">
        <v>32</v>
      </c>
      <c r="F15" s="485" t="s">
        <v>45</v>
      </c>
      <c r="G15" s="485" t="s">
        <v>22</v>
      </c>
      <c r="H15" s="385">
        <v>41820</v>
      </c>
      <c r="I15" s="485" t="s">
        <v>132</v>
      </c>
      <c r="J15" s="379">
        <v>17.88</v>
      </c>
      <c r="K15" s="379"/>
      <c r="L15" s="489">
        <v>17.88</v>
      </c>
      <c r="M15" s="379"/>
      <c r="N15" s="379"/>
      <c r="O15" s="379"/>
    </row>
    <row r="16" spans="1:131" ht="30" x14ac:dyDescent="0.25">
      <c r="A16" s="482" t="s">
        <v>8</v>
      </c>
      <c r="B16" s="482" t="s">
        <v>193</v>
      </c>
      <c r="C16" s="482" t="s">
        <v>239</v>
      </c>
      <c r="D16" s="482" t="s">
        <v>238</v>
      </c>
      <c r="E16" s="482" t="s">
        <v>32</v>
      </c>
      <c r="F16" s="482" t="s">
        <v>45</v>
      </c>
      <c r="G16" s="482" t="s">
        <v>22</v>
      </c>
      <c r="H16" s="386">
        <v>42185</v>
      </c>
      <c r="I16" s="482" t="s">
        <v>133</v>
      </c>
      <c r="J16" s="380">
        <v>13.56</v>
      </c>
      <c r="K16" s="380"/>
      <c r="L16" s="488">
        <v>13.56</v>
      </c>
      <c r="M16" s="380"/>
      <c r="N16" s="380"/>
      <c r="O16" s="380"/>
    </row>
    <row r="17" spans="1:15" ht="30" x14ac:dyDescent="0.25">
      <c r="A17" s="485" t="s">
        <v>8</v>
      </c>
      <c r="B17" s="485" t="s">
        <v>193</v>
      </c>
      <c r="C17" s="485" t="s">
        <v>239</v>
      </c>
      <c r="D17" s="485" t="s">
        <v>238</v>
      </c>
      <c r="E17" s="485" t="s">
        <v>32</v>
      </c>
      <c r="F17" s="485" t="s">
        <v>45</v>
      </c>
      <c r="G17" s="485" t="s">
        <v>22</v>
      </c>
      <c r="H17" s="385">
        <v>42551</v>
      </c>
      <c r="I17" s="485" t="s">
        <v>300</v>
      </c>
      <c r="J17" s="379">
        <v>1.1100000000000001</v>
      </c>
      <c r="K17" s="379"/>
      <c r="L17" s="490">
        <v>1.1100000000000001</v>
      </c>
      <c r="M17" s="379"/>
      <c r="N17" s="379"/>
      <c r="O17" s="379"/>
    </row>
    <row r="18" spans="1:15" ht="15" x14ac:dyDescent="0.25">
      <c r="A18" s="181"/>
      <c r="B18" s="181"/>
      <c r="C18" s="181"/>
      <c r="D18" s="181"/>
      <c r="E18" s="182"/>
      <c r="F18" s="181"/>
      <c r="G18" s="181"/>
      <c r="H18" s="183" t="s">
        <v>206</v>
      </c>
      <c r="I18" s="181"/>
      <c r="J18" s="354">
        <v>59.32</v>
      </c>
      <c r="K18" s="354">
        <v>-22.21</v>
      </c>
      <c r="L18" s="354">
        <v>37.11</v>
      </c>
      <c r="M18" s="354">
        <v>34.905877490000002</v>
      </c>
      <c r="N18" s="354">
        <v>2.2041225099999999</v>
      </c>
      <c r="O18" s="354">
        <v>35</v>
      </c>
    </row>
    <row r="19" spans="1:15" ht="15" x14ac:dyDescent="0.25">
      <c r="A19" s="181" t="s">
        <v>295</v>
      </c>
      <c r="B19" s="181"/>
      <c r="C19" s="181"/>
      <c r="D19" s="181"/>
      <c r="E19" s="182"/>
      <c r="F19" s="181"/>
      <c r="G19" s="181"/>
      <c r="H19" s="183"/>
      <c r="I19" s="181"/>
      <c r="J19" s="354"/>
      <c r="K19" s="354"/>
      <c r="L19" s="354"/>
      <c r="M19" s="354"/>
      <c r="N19" s="354"/>
      <c r="O19" s="354"/>
    </row>
    <row r="20" spans="1:15" ht="15" x14ac:dyDescent="0.25">
      <c r="A20" s="184" t="s">
        <v>327</v>
      </c>
      <c r="B20" s="184"/>
      <c r="C20" s="185"/>
      <c r="D20" s="185"/>
      <c r="E20" s="184"/>
      <c r="F20" s="184"/>
      <c r="G20" s="184"/>
      <c r="H20" s="383"/>
      <c r="I20" s="184"/>
      <c r="J20" s="459"/>
      <c r="K20" s="459"/>
      <c r="L20" s="459"/>
      <c r="M20" s="459"/>
      <c r="N20" s="459"/>
      <c r="O20" s="186"/>
    </row>
    <row r="21" spans="1:15" ht="30" x14ac:dyDescent="0.25">
      <c r="A21" s="482" t="s">
        <v>8</v>
      </c>
      <c r="B21" s="482" t="s">
        <v>193</v>
      </c>
      <c r="C21" s="482" t="s">
        <v>27</v>
      </c>
      <c r="D21" s="482" t="s">
        <v>127</v>
      </c>
      <c r="E21" s="327" t="s">
        <v>33</v>
      </c>
      <c r="F21" s="327" t="s">
        <v>45</v>
      </c>
      <c r="G21" s="482" t="s">
        <v>22</v>
      </c>
      <c r="H21" s="483">
        <v>41455</v>
      </c>
      <c r="I21" s="482" t="s">
        <v>137</v>
      </c>
      <c r="J21" s="88">
        <v>5.2490547599999999</v>
      </c>
      <c r="K21" s="88">
        <v>-3.5121737999999998</v>
      </c>
      <c r="L21" s="488">
        <v>1.7368809600000001</v>
      </c>
      <c r="M21" s="486"/>
      <c r="N21" s="486"/>
      <c r="O21" s="486"/>
    </row>
    <row r="22" spans="1:15" ht="30" x14ac:dyDescent="0.25">
      <c r="A22" s="482" t="s">
        <v>8</v>
      </c>
      <c r="B22" s="485" t="s">
        <v>193</v>
      </c>
      <c r="C22" s="485" t="s">
        <v>27</v>
      </c>
      <c r="D22" s="485" t="s">
        <v>127</v>
      </c>
      <c r="E22" s="485" t="s">
        <v>33</v>
      </c>
      <c r="F22" s="485" t="s">
        <v>45</v>
      </c>
      <c r="G22" s="485" t="s">
        <v>22</v>
      </c>
      <c r="H22" s="385">
        <v>41820</v>
      </c>
      <c r="I22" s="485" t="s">
        <v>138</v>
      </c>
      <c r="J22" s="379">
        <v>0.92112859999999996</v>
      </c>
      <c r="K22" s="379">
        <v>0</v>
      </c>
      <c r="L22" s="489">
        <v>0.92112859999999996</v>
      </c>
      <c r="M22" s="484"/>
      <c r="N22" s="484"/>
      <c r="O22" s="484"/>
    </row>
    <row r="23" spans="1:15" ht="30" x14ac:dyDescent="0.25">
      <c r="A23" s="482" t="s">
        <v>8</v>
      </c>
      <c r="B23" s="482" t="s">
        <v>193</v>
      </c>
      <c r="C23" s="482" t="s">
        <v>27</v>
      </c>
      <c r="D23" s="482" t="s">
        <v>127</v>
      </c>
      <c r="E23" s="482" t="s">
        <v>33</v>
      </c>
      <c r="F23" s="482" t="s">
        <v>45</v>
      </c>
      <c r="G23" s="482" t="s">
        <v>22</v>
      </c>
      <c r="H23" s="386">
        <v>42185</v>
      </c>
      <c r="I23" s="482" t="s">
        <v>139</v>
      </c>
      <c r="J23" s="380"/>
      <c r="K23" s="380">
        <v>0</v>
      </c>
      <c r="L23" s="488">
        <v>0</v>
      </c>
      <c r="M23" s="487"/>
      <c r="N23" s="487"/>
      <c r="O23" s="487"/>
    </row>
    <row r="24" spans="1:15" ht="30" x14ac:dyDescent="0.25">
      <c r="A24" s="482" t="s">
        <v>8</v>
      </c>
      <c r="B24" s="485" t="s">
        <v>193</v>
      </c>
      <c r="C24" s="485" t="s">
        <v>27</v>
      </c>
      <c r="D24" s="485" t="s">
        <v>127</v>
      </c>
      <c r="E24" s="485" t="s">
        <v>33</v>
      </c>
      <c r="F24" s="485" t="s">
        <v>45</v>
      </c>
      <c r="G24" s="485" t="s">
        <v>22</v>
      </c>
      <c r="H24" s="385">
        <v>42551</v>
      </c>
      <c r="I24" s="485" t="s">
        <v>301</v>
      </c>
      <c r="J24" s="379"/>
      <c r="K24" s="379">
        <v>0</v>
      </c>
      <c r="L24" s="490">
        <v>0</v>
      </c>
      <c r="M24" s="484"/>
      <c r="N24" s="484"/>
      <c r="O24" s="484"/>
    </row>
    <row r="25" spans="1:15" ht="15" x14ac:dyDescent="0.25">
      <c r="A25" s="181" t="s">
        <v>324</v>
      </c>
      <c r="B25" s="181"/>
      <c r="C25" s="181"/>
      <c r="D25" s="181"/>
      <c r="E25" s="182"/>
      <c r="F25" s="181"/>
      <c r="G25" s="181"/>
      <c r="H25" s="183" t="s">
        <v>206</v>
      </c>
      <c r="I25" s="181"/>
      <c r="J25" s="354">
        <v>6.1701833600000002</v>
      </c>
      <c r="K25" s="354">
        <v>-3.5121737999999998</v>
      </c>
      <c r="L25" s="354">
        <v>2.65800956</v>
      </c>
      <c r="M25" s="354">
        <v>2.4110391600000001</v>
      </c>
      <c r="N25" s="354">
        <v>0.24697039999999992</v>
      </c>
      <c r="O25" s="354"/>
    </row>
    <row r="26" spans="1:15" ht="15" x14ac:dyDescent="0.25">
      <c r="A26" s="181"/>
      <c r="B26" s="181"/>
      <c r="C26" s="181"/>
      <c r="D26" s="181"/>
      <c r="E26" s="182"/>
      <c r="F26" s="181"/>
      <c r="G26" s="181"/>
      <c r="H26" s="183"/>
      <c r="I26" s="181"/>
      <c r="J26" s="354"/>
      <c r="K26" s="354"/>
      <c r="L26" s="354"/>
      <c r="M26" s="354"/>
      <c r="N26" s="354"/>
      <c r="O26" s="354"/>
    </row>
    <row r="27" spans="1:15" ht="15" x14ac:dyDescent="0.25">
      <c r="A27" s="184" t="s">
        <v>328</v>
      </c>
      <c r="B27" s="184"/>
      <c r="C27" s="185"/>
      <c r="D27" s="185"/>
      <c r="E27" s="184"/>
      <c r="F27" s="184"/>
      <c r="G27" s="184"/>
      <c r="H27" s="383"/>
      <c r="I27" s="184"/>
      <c r="J27" s="459"/>
      <c r="K27" s="459"/>
      <c r="L27" s="459"/>
      <c r="M27" s="459"/>
      <c r="N27" s="459"/>
      <c r="O27" s="186"/>
    </row>
    <row r="28" spans="1:15" ht="30" x14ac:dyDescent="0.25">
      <c r="A28" s="482" t="s">
        <v>8</v>
      </c>
      <c r="B28" s="482" t="s">
        <v>193</v>
      </c>
      <c r="C28" s="482" t="s">
        <v>92</v>
      </c>
      <c r="D28" s="482" t="s">
        <v>128</v>
      </c>
      <c r="E28" s="327" t="s">
        <v>33</v>
      </c>
      <c r="F28" s="327" t="s">
        <v>45</v>
      </c>
      <c r="G28" s="482" t="s">
        <v>22</v>
      </c>
      <c r="H28" s="483">
        <v>41455</v>
      </c>
      <c r="I28" s="482" t="s">
        <v>137</v>
      </c>
      <c r="J28" s="88">
        <v>0.78420411999999995</v>
      </c>
      <c r="K28" s="88">
        <v>-0.25534812000000001</v>
      </c>
      <c r="L28" s="488">
        <v>0.52885599999999999</v>
      </c>
      <c r="M28" s="379"/>
      <c r="N28" s="379"/>
      <c r="O28" s="379"/>
    </row>
    <row r="29" spans="1:15" ht="30" x14ac:dyDescent="0.25">
      <c r="A29" s="485" t="s">
        <v>8</v>
      </c>
      <c r="B29" s="485" t="s">
        <v>193</v>
      </c>
      <c r="C29" s="485" t="s">
        <v>92</v>
      </c>
      <c r="D29" s="485" t="s">
        <v>128</v>
      </c>
      <c r="E29" s="485" t="s">
        <v>33</v>
      </c>
      <c r="F29" s="485" t="s">
        <v>45</v>
      </c>
      <c r="G29" s="485" t="s">
        <v>22</v>
      </c>
      <c r="H29" s="385">
        <v>42185</v>
      </c>
      <c r="I29" s="485" t="s">
        <v>139</v>
      </c>
      <c r="J29" s="379">
        <v>2.7230235199999999</v>
      </c>
      <c r="K29" s="379">
        <v>0</v>
      </c>
      <c r="L29" s="489">
        <v>2.7230235199999999</v>
      </c>
      <c r="M29" s="380"/>
      <c r="N29" s="380"/>
      <c r="O29" s="380"/>
    </row>
    <row r="30" spans="1:15" ht="30" x14ac:dyDescent="0.25">
      <c r="A30" s="482" t="s">
        <v>8</v>
      </c>
      <c r="B30" s="482" t="s">
        <v>193</v>
      </c>
      <c r="C30" s="482" t="s">
        <v>92</v>
      </c>
      <c r="D30" s="482" t="s">
        <v>128</v>
      </c>
      <c r="E30" s="482" t="s">
        <v>33</v>
      </c>
      <c r="F30" s="482" t="s">
        <v>45</v>
      </c>
      <c r="G30" s="482" t="s">
        <v>22</v>
      </c>
      <c r="H30" s="386">
        <v>42185</v>
      </c>
      <c r="I30" s="482" t="s">
        <v>139</v>
      </c>
      <c r="J30" s="380">
        <v>1.5495680000000001</v>
      </c>
      <c r="K30" s="380">
        <v>0</v>
      </c>
      <c r="L30" s="488">
        <v>1.5495680000000001</v>
      </c>
      <c r="M30" s="379"/>
      <c r="N30" s="379"/>
      <c r="O30" s="379"/>
    </row>
    <row r="31" spans="1:15" ht="30" x14ac:dyDescent="0.25">
      <c r="A31" s="485" t="s">
        <v>8</v>
      </c>
      <c r="B31" s="485" t="s">
        <v>193</v>
      </c>
      <c r="C31" s="485" t="s">
        <v>92</v>
      </c>
      <c r="D31" s="485" t="s">
        <v>128</v>
      </c>
      <c r="E31" s="485" t="s">
        <v>33</v>
      </c>
      <c r="F31" s="485" t="s">
        <v>45</v>
      </c>
      <c r="G31" s="485" t="s">
        <v>22</v>
      </c>
      <c r="H31" s="385">
        <v>42551</v>
      </c>
      <c r="I31" s="485" t="s">
        <v>301</v>
      </c>
      <c r="J31" s="379">
        <v>0.72236800000000001</v>
      </c>
      <c r="K31" s="379">
        <v>0</v>
      </c>
      <c r="L31" s="490">
        <v>0.72236800000000001</v>
      </c>
      <c r="M31" s="380"/>
      <c r="N31" s="380"/>
      <c r="O31" s="380"/>
    </row>
    <row r="32" spans="1:15" ht="15" x14ac:dyDescent="0.25">
      <c r="A32" s="181" t="s">
        <v>325</v>
      </c>
      <c r="B32" s="181"/>
      <c r="C32" s="181"/>
      <c r="D32" s="181"/>
      <c r="E32" s="182"/>
      <c r="F32" s="181"/>
      <c r="G32" s="181"/>
      <c r="H32" s="183" t="s">
        <v>206</v>
      </c>
      <c r="I32" s="181"/>
      <c r="J32" s="354">
        <v>5.7791636400000002</v>
      </c>
      <c r="K32" s="354">
        <v>-0.25534812000000001</v>
      </c>
      <c r="L32" s="354">
        <v>5.5238155200000003</v>
      </c>
      <c r="M32" s="354">
        <v>6.2004575650000007</v>
      </c>
      <c r="N32" s="354">
        <v>-0.67664204500000014</v>
      </c>
      <c r="O32" s="354"/>
    </row>
    <row r="33" spans="1:15" ht="30" x14ac:dyDescent="0.25">
      <c r="A33" s="181" t="s">
        <v>331</v>
      </c>
      <c r="B33" s="181"/>
      <c r="C33" s="181"/>
      <c r="D33" s="181"/>
      <c r="E33" s="182"/>
      <c r="F33" s="181"/>
      <c r="G33" s="181"/>
      <c r="H33" s="183"/>
      <c r="I33" s="181"/>
      <c r="J33" s="354">
        <f>J32 + J25</f>
        <v>11.949346999999999</v>
      </c>
      <c r="K33" s="354">
        <f>K32 + K25</f>
        <v>-3.7675219199999996</v>
      </c>
      <c r="L33" s="354">
        <f>L32 + L25</f>
        <v>8.1818250799999994</v>
      </c>
      <c r="M33" s="354">
        <f>M32 + M25</f>
        <v>8.6114967250000003</v>
      </c>
      <c r="N33" s="354">
        <f>IF(AND(N32&gt;0, N25&gt;0),N32 + N25,IF(AND(N32&gt;0, N25&lt;=0),N32,IF(AND(N32&lt;0, N25&gt;=0), N25,0)))</f>
        <v>0.24697039999999992</v>
      </c>
      <c r="O33" s="354"/>
    </row>
    <row r="34" spans="1:15" ht="15" x14ac:dyDescent="0.25">
      <c r="A34" s="184" t="s">
        <v>298</v>
      </c>
      <c r="B34" s="184"/>
      <c r="C34" s="185"/>
      <c r="D34" s="185"/>
      <c r="E34" s="184"/>
      <c r="F34" s="184"/>
      <c r="G34" s="184"/>
      <c r="H34" s="383"/>
      <c r="I34" s="184"/>
      <c r="J34" s="403"/>
      <c r="K34" s="403"/>
      <c r="L34" s="403"/>
      <c r="M34" s="403"/>
      <c r="N34" s="403">
        <f>IF(AND(N33&gt;0, N26&gt;0),N33 + N26,IF(AND(N33&gt;0, N26&lt;=0),N33,IF(AND(N33&lt;0, N26&gt;=0), N26,0)))</f>
        <v>0.24697039999999992</v>
      </c>
      <c r="O34" s="404"/>
    </row>
    <row r="35" spans="1:15" ht="15" x14ac:dyDescent="0.25">
      <c r="A35" s="901" t="s">
        <v>325</v>
      </c>
      <c r="B35" s="902"/>
      <c r="C35" s="902"/>
      <c r="D35" s="902"/>
      <c r="E35" s="902"/>
      <c r="F35" s="902"/>
      <c r="G35" s="902"/>
      <c r="H35" s="902"/>
      <c r="I35" s="902"/>
      <c r="J35" s="902"/>
      <c r="K35" s="902"/>
      <c r="L35" s="902"/>
      <c r="M35" s="902"/>
      <c r="N35" s="902"/>
      <c r="O35" s="903"/>
    </row>
    <row r="36" spans="1:15" ht="60" x14ac:dyDescent="0.25">
      <c r="A36" s="176" t="s">
        <v>89</v>
      </c>
      <c r="B36" s="176" t="s">
        <v>90</v>
      </c>
      <c r="C36" s="177" t="s">
        <v>0</v>
      </c>
      <c r="D36" s="177" t="s">
        <v>124</v>
      </c>
      <c r="E36" s="176" t="s">
        <v>143</v>
      </c>
      <c r="F36" s="176" t="s">
        <v>144</v>
      </c>
      <c r="G36" s="176" t="s">
        <v>13</v>
      </c>
      <c r="H36" s="382" t="s">
        <v>88</v>
      </c>
      <c r="I36" s="176" t="s">
        <v>12</v>
      </c>
      <c r="J36" s="400" t="s">
        <v>200</v>
      </c>
      <c r="K36" s="400" t="s">
        <v>199</v>
      </c>
      <c r="L36" s="400" t="s">
        <v>201</v>
      </c>
      <c r="M36" s="400" t="s">
        <v>149</v>
      </c>
      <c r="N36" s="400" t="s">
        <v>179</v>
      </c>
      <c r="O36" s="400" t="s">
        <v>304</v>
      </c>
    </row>
    <row r="37" spans="1:15" ht="30" x14ac:dyDescent="0.25">
      <c r="A37" s="485" t="s">
        <v>84</v>
      </c>
      <c r="B37" s="485" t="s">
        <v>9</v>
      </c>
      <c r="C37" s="485" t="s">
        <v>183</v>
      </c>
      <c r="D37" s="485" t="s">
        <v>142</v>
      </c>
      <c r="E37" s="329" t="s">
        <v>142</v>
      </c>
      <c r="F37" s="485" t="s">
        <v>142</v>
      </c>
      <c r="G37" s="485" t="s">
        <v>22</v>
      </c>
      <c r="H37" s="93">
        <v>41449</v>
      </c>
      <c r="I37" s="485" t="s">
        <v>172</v>
      </c>
      <c r="J37" s="96">
        <v>7.0349999999999996E-2</v>
      </c>
      <c r="K37" s="96" t="s">
        <v>299</v>
      </c>
      <c r="L37" s="292">
        <v>7.0349999999999996E-2</v>
      </c>
      <c r="M37" s="292">
        <f>+O37*50000/1000000</f>
        <v>6.4000000000000001E-2</v>
      </c>
      <c r="N37" s="292">
        <f>M37-L37</f>
        <v>-6.3499999999999945E-3</v>
      </c>
      <c r="O37" s="96">
        <v>1.28</v>
      </c>
    </row>
    <row r="38" spans="1:15" ht="30" x14ac:dyDescent="0.25">
      <c r="A38" s="111" t="s">
        <v>297</v>
      </c>
      <c r="B38" s="99"/>
      <c r="C38" s="2"/>
      <c r="D38" s="2"/>
      <c r="E38" s="2"/>
      <c r="F38" s="2"/>
      <c r="G38" s="2"/>
      <c r="H38" s="3"/>
      <c r="I38" s="2"/>
      <c r="J38" s="293"/>
      <c r="K38" s="293"/>
      <c r="L38" s="491">
        <f>L37</f>
        <v>7.0349999999999996E-2</v>
      </c>
      <c r="M38" s="144"/>
      <c r="N38" s="491">
        <f>IF(N37&gt;0,N37,0)</f>
        <v>0</v>
      </c>
      <c r="O38" s="144"/>
    </row>
    <row r="39" spans="1:15" ht="15" x14ac:dyDescent="0.25">
      <c r="A39" s="99"/>
      <c r="B39" s="99"/>
      <c r="C39" s="99"/>
      <c r="D39" s="99"/>
      <c r="E39" s="99"/>
      <c r="F39" s="99"/>
      <c r="G39" s="99"/>
      <c r="H39" s="388"/>
      <c r="I39" s="99"/>
      <c r="J39" s="144"/>
      <c r="K39" s="144"/>
      <c r="L39" s="144"/>
      <c r="M39" s="144"/>
      <c r="N39" s="144"/>
      <c r="O39" s="144"/>
    </row>
    <row r="40" spans="1:15" ht="15" x14ac:dyDescent="0.25">
      <c r="A40" s="99"/>
      <c r="B40" s="99"/>
      <c r="C40" s="99"/>
      <c r="D40" s="99"/>
      <c r="E40" s="99"/>
      <c r="F40" s="99"/>
      <c r="G40" s="99"/>
      <c r="H40" s="388"/>
      <c r="I40" s="99"/>
      <c r="J40" s="77"/>
      <c r="K40" s="144"/>
      <c r="L40" s="144"/>
      <c r="M40" s="77"/>
      <c r="N40" s="77"/>
      <c r="O40" s="77"/>
    </row>
    <row r="41" spans="1:15" ht="15" x14ac:dyDescent="0.25">
      <c r="A41" s="99"/>
      <c r="B41" s="99"/>
      <c r="C41" s="99"/>
      <c r="D41" s="99"/>
      <c r="E41" s="99"/>
      <c r="F41" s="99"/>
      <c r="G41" s="99"/>
      <c r="H41" s="388"/>
      <c r="I41" s="99"/>
      <c r="J41" s="77"/>
      <c r="K41" s="77"/>
      <c r="L41" s="77"/>
      <c r="M41" s="77"/>
      <c r="N41" s="77"/>
      <c r="O41" s="77"/>
    </row>
    <row r="42" spans="1:15" ht="15" x14ac:dyDescent="0.25">
      <c r="A42" s="99"/>
      <c r="B42" s="99"/>
      <c r="C42" s="99"/>
      <c r="D42" s="99"/>
      <c r="E42" s="99"/>
      <c r="F42" s="99"/>
      <c r="G42" s="99"/>
      <c r="H42" s="388"/>
      <c r="I42" s="99"/>
      <c r="J42" s="77"/>
      <c r="K42" s="77"/>
      <c r="L42" s="77"/>
      <c r="M42" s="77"/>
      <c r="N42" s="77"/>
      <c r="O42" s="77"/>
    </row>
    <row r="43" spans="1:15" ht="15" x14ac:dyDescent="0.25">
      <c r="A43" s="99"/>
      <c r="B43" s="99"/>
      <c r="C43" s="99"/>
      <c r="D43" s="99"/>
      <c r="E43" s="99"/>
      <c r="F43" s="99"/>
      <c r="G43" s="99"/>
      <c r="H43" s="388"/>
      <c r="I43" s="99"/>
      <c r="J43" s="77"/>
      <c r="K43" s="77"/>
      <c r="L43" s="77"/>
      <c r="M43" s="77"/>
      <c r="N43" s="77"/>
      <c r="O43" s="77"/>
    </row>
    <row r="44" spans="1:15" ht="15" x14ac:dyDescent="0.25">
      <c r="A44" s="99"/>
      <c r="B44" s="99"/>
      <c r="C44" s="99"/>
      <c r="D44" s="99"/>
      <c r="E44" s="99"/>
      <c r="F44" s="99"/>
      <c r="G44" s="99"/>
      <c r="H44" s="388"/>
      <c r="I44" s="99"/>
      <c r="J44" s="77"/>
      <c r="K44" s="77"/>
      <c r="L44" s="77"/>
      <c r="M44" s="77"/>
      <c r="N44" s="77"/>
      <c r="O44" s="77"/>
    </row>
    <row r="45" spans="1:15" ht="15" x14ac:dyDescent="0.25">
      <c r="A45" s="99"/>
      <c r="B45" s="99"/>
      <c r="C45" s="99"/>
      <c r="D45" s="99"/>
      <c r="E45" s="99"/>
      <c r="F45" s="99"/>
      <c r="G45" s="99"/>
      <c r="H45" s="388"/>
      <c r="I45" s="99"/>
      <c r="J45" s="77"/>
      <c r="K45" s="77"/>
      <c r="L45" s="77"/>
      <c r="M45" s="77"/>
      <c r="N45" s="77"/>
      <c r="O45" s="77"/>
    </row>
    <row r="46" spans="1:15" ht="15" x14ac:dyDescent="0.25">
      <c r="A46" s="99"/>
      <c r="B46" s="99"/>
      <c r="C46" s="99"/>
      <c r="D46" s="99"/>
      <c r="E46" s="99"/>
      <c r="F46" s="99"/>
      <c r="G46" s="99"/>
      <c r="H46" s="388"/>
      <c r="I46" s="99"/>
      <c r="J46" s="77"/>
      <c r="K46" s="77"/>
      <c r="L46" s="77"/>
      <c r="M46" s="77"/>
      <c r="N46" s="77"/>
      <c r="O46" s="77"/>
    </row>
    <row r="47" spans="1:15" ht="15.6" thickBot="1" x14ac:dyDescent="0.3">
      <c r="A47" s="904"/>
      <c r="B47" s="904"/>
      <c r="C47" s="904"/>
      <c r="D47" s="904"/>
      <c r="E47" s="904"/>
      <c r="F47" s="904"/>
      <c r="G47" s="904"/>
      <c r="H47" s="904"/>
      <c r="I47" s="904"/>
      <c r="J47" s="904"/>
      <c r="K47" s="904"/>
      <c r="L47" s="904"/>
      <c r="M47" s="904"/>
      <c r="N47" s="904"/>
      <c r="O47" s="904"/>
    </row>
    <row r="48" spans="1:15" ht="15.6" x14ac:dyDescent="0.3">
      <c r="A48" s="905"/>
      <c r="B48" s="905"/>
      <c r="C48" s="905"/>
      <c r="D48" s="905"/>
      <c r="E48" s="905"/>
      <c r="F48" s="905"/>
      <c r="G48" s="99"/>
      <c r="H48" s="388"/>
      <c r="I48" s="99"/>
      <c r="J48" s="77"/>
      <c r="K48" s="77"/>
      <c r="L48" s="77"/>
      <c r="M48" s="77"/>
      <c r="N48" s="77"/>
      <c r="O48" s="77"/>
    </row>
    <row r="49" spans="1:15" ht="15.6" x14ac:dyDescent="0.3">
      <c r="A49" s="202"/>
      <c r="B49" s="203"/>
      <c r="C49" s="203"/>
      <c r="D49" s="202"/>
      <c r="E49" s="202"/>
      <c r="F49" s="202"/>
      <c r="G49" s="99"/>
      <c r="H49" s="384"/>
      <c r="I49" s="99"/>
      <c r="J49" s="77"/>
      <c r="K49" s="77"/>
      <c r="L49" s="77"/>
      <c r="M49" s="77"/>
      <c r="N49" s="77"/>
      <c r="O49" s="77"/>
    </row>
    <row r="50" spans="1:15" ht="15" x14ac:dyDescent="0.25">
      <c r="A50" s="391"/>
      <c r="B50" s="391"/>
      <c r="C50" s="391"/>
      <c r="D50" s="391"/>
      <c r="E50" s="391"/>
      <c r="F50" s="391"/>
      <c r="G50" s="99"/>
      <c r="H50" s="388"/>
      <c r="I50" s="99"/>
      <c r="J50" s="77"/>
      <c r="K50" s="77"/>
      <c r="L50" s="77"/>
      <c r="M50" s="77"/>
      <c r="N50" s="77"/>
      <c r="O50" s="77"/>
    </row>
    <row r="51" spans="1:15" ht="15" x14ac:dyDescent="0.25">
      <c r="A51" s="395"/>
      <c r="B51" s="392"/>
      <c r="C51" s="392"/>
      <c r="D51" s="392"/>
      <c r="E51" s="392"/>
      <c r="F51" s="205"/>
      <c r="G51" s="99"/>
      <c r="H51" s="388"/>
      <c r="I51" s="99"/>
      <c r="J51" s="77"/>
      <c r="K51" s="77"/>
      <c r="L51" s="77"/>
      <c r="M51" s="77"/>
      <c r="N51" s="77"/>
      <c r="O51" s="77"/>
    </row>
    <row r="52" spans="1:15" ht="15" x14ac:dyDescent="0.25">
      <c r="A52" s="395"/>
      <c r="B52" s="392"/>
      <c r="C52" s="392"/>
      <c r="D52" s="392"/>
      <c r="E52" s="392"/>
      <c r="F52" s="205"/>
      <c r="G52" s="99"/>
      <c r="H52" s="388"/>
      <c r="I52" s="99"/>
      <c r="J52" s="77"/>
      <c r="K52" s="77"/>
      <c r="L52" s="77"/>
      <c r="M52" s="77"/>
      <c r="N52" s="77"/>
      <c r="O52" s="77"/>
    </row>
    <row r="53" spans="1:15" ht="15" x14ac:dyDescent="0.25">
      <c r="A53" s="391"/>
      <c r="B53" s="392"/>
      <c r="C53" s="392"/>
      <c r="D53" s="392"/>
      <c r="E53" s="392"/>
      <c r="F53" s="205"/>
      <c r="G53" s="99"/>
      <c r="H53" s="388"/>
      <c r="I53" s="99"/>
      <c r="J53" s="77"/>
      <c r="K53" s="77"/>
      <c r="L53" s="77"/>
      <c r="M53" s="77"/>
      <c r="N53" s="77"/>
      <c r="O53" s="77"/>
    </row>
    <row r="54" spans="1:15" ht="15" x14ac:dyDescent="0.25">
      <c r="A54" s="395"/>
      <c r="B54" s="392"/>
      <c r="C54" s="392"/>
      <c r="D54" s="392"/>
      <c r="E54" s="392"/>
      <c r="F54" s="205"/>
      <c r="G54" s="99"/>
      <c r="H54" s="388"/>
      <c r="I54" s="99"/>
      <c r="J54" s="77"/>
      <c r="K54" s="77"/>
      <c r="L54" s="77"/>
      <c r="M54" s="77"/>
      <c r="N54" s="77"/>
      <c r="O54" s="77"/>
    </row>
    <row r="55" spans="1:15" ht="15" x14ac:dyDescent="0.25">
      <c r="A55" s="391"/>
      <c r="B55" s="392"/>
      <c r="C55" s="392"/>
      <c r="D55" s="392"/>
      <c r="E55" s="392"/>
      <c r="F55" s="205"/>
      <c r="G55" s="99"/>
      <c r="H55" s="388"/>
      <c r="I55" s="99"/>
      <c r="J55" s="77"/>
      <c r="K55" s="77"/>
      <c r="L55" s="77"/>
      <c r="M55" s="77"/>
      <c r="N55" s="77"/>
      <c r="O55" s="77"/>
    </row>
    <row r="56" spans="1:15" ht="15" x14ac:dyDescent="0.25">
      <c r="A56" s="391"/>
      <c r="B56" s="392"/>
      <c r="C56" s="392"/>
      <c r="D56" s="392"/>
      <c r="E56" s="392"/>
      <c r="F56" s="205"/>
      <c r="G56" s="99"/>
      <c r="H56" s="388"/>
      <c r="I56" s="99"/>
      <c r="J56" s="77"/>
      <c r="K56" s="77"/>
      <c r="L56" s="77"/>
      <c r="M56" s="77"/>
      <c r="N56" s="77"/>
      <c r="O56" s="77"/>
    </row>
    <row r="57" spans="1:15" ht="16.8" x14ac:dyDescent="0.4">
      <c r="A57" s="391"/>
      <c r="B57" s="393"/>
      <c r="C57" s="393"/>
      <c r="D57" s="393"/>
      <c r="E57" s="393"/>
      <c r="F57" s="207"/>
      <c r="G57" s="99"/>
      <c r="H57" s="389"/>
      <c r="I57" s="99"/>
      <c r="J57" s="77"/>
      <c r="K57" s="77"/>
      <c r="L57" s="77"/>
      <c r="M57" s="77"/>
      <c r="N57" s="77"/>
      <c r="O57" s="77"/>
    </row>
    <row r="58" spans="1:15" ht="16.8" x14ac:dyDescent="0.4">
      <c r="A58" s="391"/>
      <c r="B58" s="394"/>
      <c r="C58" s="394"/>
      <c r="D58" s="394"/>
      <c r="E58" s="394"/>
      <c r="F58" s="210"/>
      <c r="G58" s="99"/>
      <c r="H58" s="390"/>
      <c r="I58" s="99"/>
      <c r="J58" s="77"/>
      <c r="K58" s="77"/>
      <c r="L58" s="77"/>
      <c r="M58" s="77"/>
      <c r="N58" s="77"/>
      <c r="O58" s="77"/>
    </row>
    <row r="59" spans="1:15" ht="15" x14ac:dyDescent="0.25">
      <c r="A59" s="391"/>
      <c r="B59" s="391"/>
      <c r="C59" s="391"/>
      <c r="D59" s="391"/>
      <c r="E59" s="391"/>
      <c r="F59" s="391"/>
      <c r="G59" s="99"/>
      <c r="H59" s="388"/>
      <c r="I59" s="99"/>
      <c r="J59" s="77"/>
      <c r="K59" s="77"/>
      <c r="L59" s="77"/>
      <c r="M59" s="77"/>
      <c r="N59" s="77"/>
      <c r="O59" s="77"/>
    </row>
    <row r="60" spans="1:15" ht="15" x14ac:dyDescent="0.25">
      <c r="A60" s="99"/>
      <c r="B60" s="99"/>
      <c r="C60" s="99"/>
      <c r="D60" s="99"/>
      <c r="E60" s="99"/>
      <c r="F60" s="99"/>
      <c r="G60" s="99"/>
      <c r="H60" s="388"/>
      <c r="I60" s="99"/>
      <c r="J60" s="77"/>
      <c r="K60" s="77"/>
      <c r="L60" s="77"/>
      <c r="M60" s="77"/>
      <c r="N60" s="77"/>
      <c r="O60" s="77"/>
    </row>
    <row r="61" spans="1:15" ht="15" x14ac:dyDescent="0.25">
      <c r="A61" s="99"/>
      <c r="B61" s="99"/>
      <c r="C61" s="99"/>
      <c r="D61" s="99"/>
      <c r="E61" s="99"/>
      <c r="F61" s="99"/>
      <c r="G61" s="99"/>
      <c r="H61" s="388"/>
      <c r="I61" s="99"/>
      <c r="J61" s="77"/>
      <c r="K61" s="77"/>
      <c r="L61" s="77"/>
      <c r="M61" s="77"/>
      <c r="N61" s="77"/>
      <c r="O61" s="77"/>
    </row>
    <row r="62" spans="1:15" ht="15" x14ac:dyDescent="0.25">
      <c r="A62" s="99"/>
      <c r="B62" s="99"/>
      <c r="C62" s="99"/>
      <c r="D62" s="99"/>
      <c r="E62" s="99"/>
      <c r="F62" s="99"/>
      <c r="G62" s="99"/>
      <c r="H62" s="388"/>
      <c r="I62" s="99"/>
      <c r="J62" s="77"/>
      <c r="K62" s="77"/>
      <c r="L62" s="77"/>
      <c r="M62" s="77"/>
      <c r="N62" s="77"/>
      <c r="O62" s="77"/>
    </row>
    <row r="63" spans="1:15" ht="15" x14ac:dyDescent="0.25">
      <c r="A63" s="99"/>
      <c r="B63" s="99"/>
      <c r="C63" s="99"/>
      <c r="D63" s="99"/>
      <c r="E63" s="99"/>
      <c r="F63" s="99"/>
      <c r="G63" s="99"/>
      <c r="H63" s="388"/>
      <c r="I63" s="99"/>
      <c r="J63" s="77"/>
      <c r="K63" s="77"/>
      <c r="L63" s="77"/>
      <c r="M63" s="77"/>
      <c r="N63" s="77"/>
      <c r="O63" s="77"/>
    </row>
    <row r="64" spans="1:15" ht="15" x14ac:dyDescent="0.25">
      <c r="A64" s="99"/>
      <c r="B64" s="99"/>
      <c r="C64" s="99"/>
      <c r="D64" s="99"/>
      <c r="E64" s="99"/>
      <c r="F64" s="99"/>
      <c r="G64" s="99"/>
      <c r="H64" s="388"/>
      <c r="I64" s="99"/>
      <c r="J64" s="77"/>
      <c r="K64" s="77"/>
      <c r="L64" s="77"/>
      <c r="M64" s="77"/>
      <c r="N64" s="77"/>
      <c r="O64" s="77"/>
    </row>
    <row r="65" spans="1:15" ht="15" x14ac:dyDescent="0.25">
      <c r="A65" s="99"/>
      <c r="B65" s="99"/>
      <c r="C65" s="99"/>
      <c r="D65" s="99"/>
      <c r="E65" s="99"/>
      <c r="F65" s="99"/>
      <c r="G65" s="99"/>
      <c r="H65" s="388"/>
      <c r="I65" s="99"/>
      <c r="J65" s="77"/>
      <c r="K65" s="77"/>
      <c r="L65" s="77"/>
      <c r="M65" s="77"/>
      <c r="N65" s="77"/>
      <c r="O65" s="77"/>
    </row>
    <row r="66" spans="1:15" ht="15" x14ac:dyDescent="0.25">
      <c r="A66" s="99"/>
      <c r="B66" s="99"/>
      <c r="C66" s="99"/>
      <c r="D66" s="99"/>
      <c r="E66" s="99"/>
      <c r="F66" s="99"/>
      <c r="G66" s="99"/>
      <c r="H66" s="388"/>
      <c r="I66" s="99"/>
      <c r="J66" s="77"/>
      <c r="K66" s="77"/>
      <c r="L66" s="77"/>
      <c r="M66" s="77"/>
      <c r="N66" s="77"/>
      <c r="O66" s="77"/>
    </row>
    <row r="67" spans="1:15" ht="15" x14ac:dyDescent="0.25">
      <c r="A67" s="99"/>
      <c r="B67" s="99"/>
      <c r="C67" s="99"/>
      <c r="D67" s="99"/>
      <c r="E67" s="99"/>
      <c r="F67" s="99"/>
      <c r="G67" s="99"/>
      <c r="H67" s="388"/>
      <c r="I67" s="99"/>
      <c r="J67" s="77"/>
      <c r="K67" s="77"/>
      <c r="L67" s="77"/>
      <c r="M67" s="77"/>
      <c r="N67" s="77"/>
      <c r="O67" s="77"/>
    </row>
    <row r="68" spans="1:15" ht="15" x14ac:dyDescent="0.25">
      <c r="A68" s="99"/>
      <c r="B68" s="99"/>
      <c r="C68" s="99"/>
      <c r="D68" s="99"/>
      <c r="E68" s="99"/>
      <c r="F68" s="99"/>
      <c r="G68" s="99"/>
      <c r="H68" s="388"/>
      <c r="I68" s="99"/>
      <c r="J68" s="77"/>
      <c r="K68" s="77"/>
      <c r="L68" s="77"/>
      <c r="M68" s="77"/>
      <c r="N68" s="77"/>
      <c r="O68" s="77"/>
    </row>
    <row r="69" spans="1:15" ht="15" x14ac:dyDescent="0.25">
      <c r="A69" s="99"/>
      <c r="B69" s="99"/>
      <c r="C69" s="99"/>
      <c r="D69" s="99"/>
      <c r="E69" s="99"/>
      <c r="F69" s="99"/>
      <c r="G69" s="99"/>
      <c r="H69" s="388"/>
      <c r="I69" s="99"/>
      <c r="J69" s="77"/>
      <c r="K69" s="77"/>
      <c r="L69" s="77"/>
      <c r="M69" s="77"/>
      <c r="N69" s="77"/>
      <c r="O69" s="77"/>
    </row>
    <row r="70" spans="1:15" ht="15" x14ac:dyDescent="0.25">
      <c r="A70" s="99"/>
      <c r="B70" s="99"/>
      <c r="C70" s="99"/>
      <c r="D70" s="99"/>
      <c r="E70" s="99"/>
      <c r="F70" s="99"/>
      <c r="G70" s="99"/>
      <c r="H70" s="388"/>
      <c r="I70" s="99"/>
      <c r="J70" s="77"/>
      <c r="K70" s="77"/>
      <c r="L70" s="77"/>
      <c r="M70" s="77"/>
      <c r="N70" s="77"/>
      <c r="O70" s="77"/>
    </row>
    <row r="71" spans="1:15" ht="15" x14ac:dyDescent="0.25">
      <c r="A71" s="99"/>
      <c r="B71" s="99"/>
      <c r="C71" s="99"/>
      <c r="D71" s="99"/>
      <c r="E71" s="99"/>
      <c r="F71" s="99"/>
      <c r="G71" s="99"/>
      <c r="H71" s="388"/>
      <c r="I71" s="99"/>
      <c r="J71" s="77"/>
      <c r="K71" s="77"/>
      <c r="L71" s="77"/>
      <c r="M71" s="77"/>
      <c r="N71" s="77"/>
      <c r="O71" s="77"/>
    </row>
    <row r="72" spans="1:15" ht="15" x14ac:dyDescent="0.25">
      <c r="A72" s="99"/>
      <c r="B72" s="99"/>
      <c r="C72" s="99"/>
      <c r="D72" s="99"/>
      <c r="E72" s="99"/>
      <c r="F72" s="99"/>
      <c r="G72" s="99"/>
      <c r="H72" s="388"/>
      <c r="I72" s="99"/>
      <c r="J72" s="77"/>
      <c r="K72" s="77"/>
      <c r="L72" s="77"/>
      <c r="M72" s="77"/>
      <c r="N72" s="77"/>
      <c r="O72" s="77"/>
    </row>
    <row r="73" spans="1:15" ht="15" x14ac:dyDescent="0.25">
      <c r="A73" s="99"/>
      <c r="B73" s="99"/>
      <c r="C73" s="99"/>
      <c r="D73" s="99"/>
      <c r="E73" s="99"/>
      <c r="F73" s="99"/>
      <c r="G73" s="99"/>
      <c r="H73" s="388"/>
      <c r="I73" s="99"/>
      <c r="J73" s="77"/>
      <c r="K73" s="77"/>
      <c r="L73" s="77"/>
      <c r="M73" s="77"/>
      <c r="N73" s="77"/>
      <c r="O73" s="77"/>
    </row>
    <row r="74" spans="1:15" ht="15" x14ac:dyDescent="0.25">
      <c r="A74" s="99"/>
      <c r="B74" s="99"/>
      <c r="C74" s="99"/>
      <c r="D74" s="99"/>
      <c r="E74" s="99"/>
      <c r="F74" s="99"/>
      <c r="G74" s="99"/>
      <c r="H74" s="388"/>
      <c r="I74" s="99"/>
      <c r="J74" s="77"/>
      <c r="K74" s="77"/>
      <c r="L74" s="77"/>
      <c r="M74" s="77"/>
      <c r="N74" s="77"/>
      <c r="O74" s="77"/>
    </row>
    <row r="75" spans="1:15" ht="15" x14ac:dyDescent="0.25">
      <c r="A75" s="99"/>
      <c r="B75" s="99"/>
      <c r="C75" s="99"/>
      <c r="D75" s="99"/>
      <c r="E75" s="99"/>
      <c r="F75" s="99"/>
      <c r="G75" s="99"/>
      <c r="H75" s="388"/>
      <c r="I75" s="99"/>
      <c r="J75" s="77"/>
      <c r="K75" s="77"/>
      <c r="L75" s="77"/>
      <c r="M75" s="77"/>
      <c r="N75" s="77"/>
      <c r="O75" s="77"/>
    </row>
    <row r="76" spans="1:15" ht="15" x14ac:dyDescent="0.25">
      <c r="A76" s="99"/>
      <c r="B76" s="99"/>
      <c r="C76" s="99"/>
      <c r="D76" s="99"/>
      <c r="E76" s="99"/>
      <c r="F76" s="99"/>
      <c r="G76" s="99"/>
      <c r="H76" s="388"/>
      <c r="I76" s="99"/>
      <c r="J76" s="77"/>
      <c r="K76" s="77"/>
      <c r="L76" s="77"/>
      <c r="M76" s="77"/>
      <c r="N76" s="77"/>
      <c r="O76" s="77"/>
    </row>
    <row r="77" spans="1:15" ht="15" x14ac:dyDescent="0.25">
      <c r="A77" s="99"/>
      <c r="B77" s="99"/>
      <c r="C77" s="99"/>
      <c r="D77" s="99"/>
      <c r="E77" s="99"/>
      <c r="F77" s="99"/>
      <c r="G77" s="99"/>
      <c r="H77" s="388"/>
      <c r="I77" s="99"/>
      <c r="J77" s="77"/>
      <c r="K77" s="77"/>
      <c r="L77" s="77"/>
      <c r="M77" s="77"/>
      <c r="N77" s="77"/>
      <c r="O77" s="77"/>
    </row>
    <row r="78" spans="1:15" ht="15" x14ac:dyDescent="0.25">
      <c r="A78" s="99"/>
      <c r="B78" s="99"/>
      <c r="C78" s="99"/>
      <c r="D78" s="99"/>
      <c r="E78" s="99"/>
      <c r="F78" s="99"/>
      <c r="G78" s="99"/>
      <c r="H78" s="388"/>
      <c r="I78" s="99"/>
      <c r="J78" s="77"/>
      <c r="K78" s="77"/>
      <c r="L78" s="77"/>
      <c r="M78" s="77"/>
      <c r="N78" s="77"/>
      <c r="O78" s="77"/>
    </row>
    <row r="79" spans="1:15" ht="15" x14ac:dyDescent="0.25">
      <c r="A79" s="99"/>
      <c r="B79" s="99"/>
      <c r="C79" s="99"/>
      <c r="D79" s="99"/>
      <c r="E79" s="99"/>
      <c r="F79" s="99"/>
      <c r="G79" s="99"/>
      <c r="H79" s="388"/>
      <c r="I79" s="99"/>
      <c r="J79" s="77"/>
      <c r="K79" s="77"/>
      <c r="L79" s="77"/>
      <c r="M79" s="77"/>
      <c r="N79" s="77"/>
      <c r="O79" s="77"/>
    </row>
    <row r="80" spans="1:15" ht="15" x14ac:dyDescent="0.25">
      <c r="A80" s="99"/>
      <c r="B80" s="99"/>
      <c r="C80" s="99"/>
      <c r="D80" s="99"/>
      <c r="E80" s="99"/>
      <c r="F80" s="99"/>
      <c r="G80" s="99"/>
      <c r="H80" s="388"/>
      <c r="I80" s="99"/>
      <c r="J80" s="77"/>
      <c r="K80" s="77"/>
      <c r="L80" s="77"/>
      <c r="M80" s="77"/>
      <c r="N80" s="77"/>
      <c r="O80" s="77"/>
    </row>
    <row r="81" spans="1:15" ht="15" x14ac:dyDescent="0.25">
      <c r="A81" s="99"/>
      <c r="B81" s="99"/>
      <c r="C81" s="99"/>
      <c r="D81" s="99"/>
      <c r="E81" s="99"/>
      <c r="F81" s="99"/>
      <c r="G81" s="99"/>
      <c r="H81" s="388"/>
      <c r="I81" s="99"/>
      <c r="J81" s="77"/>
      <c r="K81" s="77"/>
      <c r="L81" s="77"/>
      <c r="M81" s="77"/>
      <c r="N81" s="77"/>
      <c r="O81" s="77"/>
    </row>
    <row r="82" spans="1:15" ht="15" x14ac:dyDescent="0.25">
      <c r="A82" s="99"/>
      <c r="B82" s="99"/>
      <c r="C82" s="99"/>
      <c r="D82" s="99"/>
      <c r="E82" s="99"/>
      <c r="F82" s="99"/>
      <c r="G82" s="99"/>
      <c r="H82" s="388"/>
      <c r="I82" s="99"/>
      <c r="J82" s="77"/>
      <c r="K82" s="77"/>
      <c r="L82" s="77"/>
      <c r="M82" s="77"/>
      <c r="N82" s="77"/>
      <c r="O82" s="77"/>
    </row>
    <row r="83" spans="1:15" ht="15" x14ac:dyDescent="0.25">
      <c r="A83" s="99"/>
      <c r="B83" s="99"/>
      <c r="C83" s="99"/>
      <c r="D83" s="99"/>
      <c r="E83" s="99"/>
      <c r="F83" s="99"/>
      <c r="G83" s="99"/>
      <c r="H83" s="388"/>
      <c r="I83" s="99"/>
      <c r="J83" s="77"/>
      <c r="K83" s="77"/>
      <c r="L83" s="77"/>
      <c r="M83" s="77"/>
      <c r="N83" s="77"/>
      <c r="O83" s="77"/>
    </row>
    <row r="84" spans="1:15" ht="15" x14ac:dyDescent="0.25">
      <c r="A84" s="99"/>
      <c r="B84" s="99"/>
      <c r="C84" s="99"/>
      <c r="D84" s="99"/>
      <c r="E84" s="99"/>
      <c r="F84" s="99"/>
      <c r="G84" s="99"/>
      <c r="H84" s="388"/>
      <c r="I84" s="99"/>
      <c r="J84" s="77"/>
      <c r="K84" s="77"/>
      <c r="L84" s="77"/>
      <c r="M84" s="77"/>
      <c r="N84" s="77"/>
      <c r="O84" s="77"/>
    </row>
    <row r="85" spans="1:15" ht="15" x14ac:dyDescent="0.25">
      <c r="A85" s="99"/>
      <c r="B85" s="99"/>
      <c r="C85" s="99"/>
      <c r="D85" s="99"/>
      <c r="E85" s="99"/>
      <c r="F85" s="99"/>
      <c r="G85" s="99"/>
      <c r="H85" s="388"/>
      <c r="I85" s="99"/>
      <c r="J85" s="77"/>
      <c r="K85" s="77"/>
      <c r="L85" s="77"/>
      <c r="M85" s="77"/>
      <c r="N85" s="77"/>
      <c r="O85" s="77"/>
    </row>
    <row r="86" spans="1:15" ht="15" x14ac:dyDescent="0.25">
      <c r="A86" s="99"/>
      <c r="B86" s="99"/>
      <c r="C86" s="99"/>
      <c r="D86" s="99"/>
      <c r="E86" s="99"/>
      <c r="F86" s="99"/>
      <c r="G86" s="99"/>
      <c r="H86" s="388"/>
      <c r="I86" s="99"/>
      <c r="J86" s="77"/>
      <c r="K86" s="77"/>
      <c r="L86" s="77"/>
      <c r="M86" s="77"/>
      <c r="N86" s="77"/>
      <c r="O86" s="77"/>
    </row>
    <row r="87" spans="1:15" ht="15" x14ac:dyDescent="0.25">
      <c r="A87" s="99"/>
      <c r="B87" s="99"/>
      <c r="C87" s="99"/>
      <c r="D87" s="99"/>
      <c r="E87" s="99"/>
      <c r="F87" s="99"/>
      <c r="G87" s="99"/>
      <c r="H87" s="388"/>
      <c r="I87" s="99"/>
      <c r="J87" s="77"/>
      <c r="K87" s="77"/>
      <c r="L87" s="77"/>
      <c r="M87" s="77"/>
      <c r="N87" s="77"/>
      <c r="O87" s="77"/>
    </row>
    <row r="88" spans="1:15" ht="15" x14ac:dyDescent="0.25">
      <c r="A88" s="99"/>
      <c r="B88" s="99"/>
      <c r="C88" s="99"/>
      <c r="D88" s="99"/>
      <c r="E88" s="99"/>
      <c r="F88" s="99"/>
      <c r="G88" s="99"/>
      <c r="H88" s="388"/>
      <c r="I88" s="99"/>
      <c r="J88" s="77"/>
      <c r="K88" s="77"/>
      <c r="L88" s="77"/>
      <c r="M88" s="77"/>
      <c r="N88" s="77"/>
      <c r="O88" s="77"/>
    </row>
    <row r="89" spans="1:15" ht="15" x14ac:dyDescent="0.25">
      <c r="A89" s="99"/>
      <c r="B89" s="99"/>
      <c r="C89" s="99"/>
      <c r="D89" s="99"/>
      <c r="E89" s="99"/>
      <c r="F89" s="99"/>
      <c r="G89" s="99"/>
      <c r="H89" s="388"/>
      <c r="I89" s="99"/>
      <c r="J89" s="77"/>
      <c r="K89" s="77"/>
      <c r="L89" s="77"/>
      <c r="M89" s="77"/>
      <c r="N89" s="77"/>
      <c r="O89" s="77"/>
    </row>
    <row r="90" spans="1:15" ht="15" x14ac:dyDescent="0.25">
      <c r="A90" s="99"/>
      <c r="B90" s="99"/>
      <c r="C90" s="99"/>
      <c r="D90" s="99"/>
      <c r="E90" s="99"/>
      <c r="F90" s="99"/>
      <c r="G90" s="99"/>
      <c r="H90" s="388"/>
      <c r="I90" s="99"/>
      <c r="J90" s="77"/>
      <c r="K90" s="77"/>
      <c r="L90" s="77"/>
      <c r="M90" s="77"/>
      <c r="N90" s="77"/>
      <c r="O90" s="77"/>
    </row>
    <row r="91" spans="1:15" ht="15" x14ac:dyDescent="0.25">
      <c r="A91" s="99"/>
      <c r="B91" s="99"/>
      <c r="C91" s="99"/>
      <c r="D91" s="99"/>
      <c r="E91" s="99"/>
      <c r="F91" s="99"/>
      <c r="G91" s="99"/>
      <c r="H91" s="388"/>
      <c r="I91" s="99"/>
      <c r="J91" s="77"/>
      <c r="K91" s="77"/>
      <c r="L91" s="77"/>
      <c r="M91" s="77"/>
      <c r="N91" s="77"/>
      <c r="O91" s="77"/>
    </row>
    <row r="92" spans="1:15" ht="15" x14ac:dyDescent="0.25">
      <c r="A92" s="99"/>
      <c r="B92" s="99"/>
      <c r="C92" s="99"/>
      <c r="D92" s="99"/>
      <c r="E92" s="99"/>
      <c r="F92" s="99"/>
      <c r="G92" s="99"/>
      <c r="H92" s="388"/>
      <c r="I92" s="99"/>
      <c r="J92" s="77"/>
      <c r="K92" s="77"/>
      <c r="L92" s="77"/>
      <c r="M92" s="77"/>
      <c r="N92" s="77"/>
      <c r="O92" s="77"/>
    </row>
    <row r="93" spans="1:15" ht="15" x14ac:dyDescent="0.25">
      <c r="A93" s="99"/>
      <c r="B93" s="99"/>
      <c r="C93" s="99"/>
      <c r="D93" s="99"/>
      <c r="E93" s="99"/>
      <c r="F93" s="99"/>
      <c r="G93" s="99"/>
      <c r="H93" s="388"/>
      <c r="I93" s="99"/>
      <c r="J93" s="77"/>
      <c r="K93" s="77"/>
      <c r="L93" s="77"/>
      <c r="M93" s="77"/>
      <c r="N93" s="77"/>
      <c r="O93" s="77"/>
    </row>
    <row r="94" spans="1:15" ht="15" x14ac:dyDescent="0.25">
      <c r="A94" s="99"/>
      <c r="B94" s="99"/>
      <c r="C94" s="99"/>
      <c r="D94" s="99"/>
      <c r="E94" s="99"/>
      <c r="F94" s="99"/>
      <c r="G94" s="99"/>
      <c r="H94" s="388"/>
      <c r="I94" s="99"/>
      <c r="J94" s="77"/>
      <c r="K94" s="77"/>
      <c r="L94" s="77"/>
      <c r="M94" s="77"/>
      <c r="N94" s="77"/>
      <c r="O94" s="77"/>
    </row>
    <row r="95" spans="1:15" ht="15" x14ac:dyDescent="0.25">
      <c r="A95" s="99"/>
      <c r="B95" s="99"/>
      <c r="C95" s="99"/>
      <c r="D95" s="99"/>
      <c r="E95" s="99"/>
      <c r="F95" s="99"/>
      <c r="G95" s="99"/>
      <c r="H95" s="388"/>
      <c r="I95" s="99"/>
      <c r="J95" s="77"/>
      <c r="K95" s="77"/>
      <c r="L95" s="77"/>
      <c r="M95" s="77"/>
      <c r="N95" s="77"/>
      <c r="O95" s="77"/>
    </row>
    <row r="96" spans="1:15" ht="15" x14ac:dyDescent="0.25">
      <c r="A96" s="99"/>
      <c r="B96" s="99"/>
      <c r="C96" s="99"/>
      <c r="D96" s="99"/>
      <c r="E96" s="99"/>
      <c r="F96" s="99"/>
      <c r="G96" s="99"/>
      <c r="H96" s="388"/>
      <c r="I96" s="99"/>
      <c r="J96" s="77"/>
      <c r="K96" s="77"/>
      <c r="L96" s="77"/>
      <c r="M96" s="77"/>
      <c r="N96" s="77"/>
      <c r="O96" s="77"/>
    </row>
    <row r="97" spans="1:15" ht="15" x14ac:dyDescent="0.25">
      <c r="A97" s="99"/>
      <c r="B97" s="99"/>
      <c r="C97" s="99"/>
      <c r="D97" s="99"/>
      <c r="E97" s="99"/>
      <c r="F97" s="99"/>
      <c r="G97" s="99"/>
      <c r="H97" s="388"/>
      <c r="I97" s="99"/>
      <c r="J97" s="77"/>
      <c r="K97" s="77"/>
      <c r="L97" s="77"/>
      <c r="M97" s="77"/>
      <c r="N97" s="77"/>
      <c r="O97" s="77"/>
    </row>
    <row r="98" spans="1:15" ht="15" x14ac:dyDescent="0.25">
      <c r="A98" s="99"/>
      <c r="B98" s="99"/>
      <c r="C98" s="99"/>
      <c r="D98" s="99"/>
      <c r="E98" s="99"/>
      <c r="F98" s="99"/>
      <c r="G98" s="99"/>
      <c r="H98" s="388"/>
      <c r="I98" s="99"/>
      <c r="J98" s="77"/>
      <c r="K98" s="77"/>
      <c r="L98" s="77"/>
      <c r="M98" s="77"/>
      <c r="N98" s="77"/>
      <c r="O98" s="77"/>
    </row>
    <row r="99" spans="1:15" ht="15" x14ac:dyDescent="0.25">
      <c r="A99" s="99"/>
      <c r="B99" s="99"/>
      <c r="C99" s="99"/>
      <c r="D99" s="99"/>
      <c r="E99" s="99"/>
      <c r="F99" s="99"/>
      <c r="G99" s="99"/>
      <c r="H99" s="388"/>
      <c r="I99" s="99"/>
      <c r="J99" s="77"/>
      <c r="K99" s="77"/>
      <c r="L99" s="77"/>
      <c r="M99" s="77"/>
      <c r="N99" s="77"/>
      <c r="O99" s="77"/>
    </row>
    <row r="100" spans="1:15" ht="15.6" thickBot="1" x14ac:dyDescent="0.3">
      <c r="A100" s="99"/>
      <c r="B100" s="99"/>
      <c r="C100" s="99"/>
      <c r="D100" s="99"/>
      <c r="E100" s="99"/>
      <c r="F100" s="99"/>
      <c r="G100" s="99"/>
      <c r="H100" s="388"/>
      <c r="I100" s="99"/>
      <c r="J100" s="77"/>
      <c r="K100" s="77"/>
      <c r="L100" s="77"/>
      <c r="M100" s="77"/>
      <c r="N100" s="77"/>
      <c r="O100" s="77"/>
    </row>
    <row r="101" spans="1:15" ht="15" x14ac:dyDescent="0.25">
      <c r="A101" s="894" t="s">
        <v>195</v>
      </c>
      <c r="B101" s="895"/>
      <c r="C101" s="895"/>
      <c r="D101" s="895"/>
      <c r="E101" s="895"/>
      <c r="F101" s="896"/>
      <c r="G101" s="99"/>
      <c r="H101" s="388"/>
      <c r="I101" s="99"/>
      <c r="J101" s="77"/>
      <c r="K101" s="77"/>
      <c r="L101" s="77"/>
      <c r="M101" s="77"/>
      <c r="N101" s="77"/>
      <c r="O101" s="77"/>
    </row>
    <row r="102" spans="1:15" ht="15.6" thickBot="1" x14ac:dyDescent="0.3">
      <c r="A102" s="897"/>
      <c r="B102" s="898"/>
      <c r="C102" s="898"/>
      <c r="D102" s="898"/>
      <c r="E102" s="898"/>
      <c r="F102" s="899"/>
      <c r="G102" s="99"/>
      <c r="H102" s="388"/>
      <c r="I102" s="99"/>
      <c r="J102" s="77"/>
      <c r="K102" s="77"/>
      <c r="L102" s="77"/>
      <c r="M102" s="77"/>
      <c r="N102" s="77"/>
      <c r="O102" s="77"/>
    </row>
    <row r="103" spans="1:15" ht="15" x14ac:dyDescent="0.25">
      <c r="A103" s="162" t="s">
        <v>5</v>
      </c>
      <c r="B103" s="161" t="s">
        <v>6</v>
      </c>
      <c r="C103" s="161" t="s">
        <v>13</v>
      </c>
      <c r="D103" s="161" t="s">
        <v>82</v>
      </c>
      <c r="E103" s="161" t="s">
        <v>115</v>
      </c>
      <c r="F103" s="163" t="s">
        <v>116</v>
      </c>
      <c r="G103" s="99"/>
      <c r="H103" s="388"/>
      <c r="I103" s="99"/>
      <c r="J103" s="77"/>
      <c r="K103" s="77"/>
      <c r="L103" s="77"/>
      <c r="M103" s="77"/>
      <c r="N103" s="77"/>
      <c r="O103" s="77"/>
    </row>
    <row r="104" spans="1:15" ht="15" x14ac:dyDescent="0.25">
      <c r="A104" s="396" t="s">
        <v>239</v>
      </c>
      <c r="B104" s="106"/>
      <c r="C104" s="106"/>
      <c r="D104" s="106"/>
      <c r="E104" s="106"/>
      <c r="F104" s="107"/>
      <c r="G104" s="99"/>
      <c r="H104" s="388"/>
      <c r="I104" s="99"/>
      <c r="J104" s="77"/>
      <c r="K104" s="77"/>
      <c r="L104" s="77"/>
      <c r="M104" s="77"/>
      <c r="N104" s="77"/>
      <c r="O104" s="77"/>
    </row>
    <row r="105" spans="1:15" ht="30" x14ac:dyDescent="0.25">
      <c r="A105" s="396" t="s">
        <v>91</v>
      </c>
      <c r="B105" s="106" t="s">
        <v>190</v>
      </c>
      <c r="C105" s="106" t="s">
        <v>18</v>
      </c>
      <c r="D105" s="106" t="s">
        <v>8</v>
      </c>
      <c r="E105" s="106" t="s">
        <v>36</v>
      </c>
      <c r="F105" s="107" t="s">
        <v>29</v>
      </c>
      <c r="G105" s="99"/>
      <c r="H105" s="388"/>
      <c r="I105" s="99"/>
      <c r="J105" s="77"/>
      <c r="K105" s="77"/>
      <c r="L105" s="77"/>
      <c r="M105" s="77"/>
      <c r="N105" s="77"/>
      <c r="O105" s="77"/>
    </row>
    <row r="106" spans="1:15" ht="30" x14ac:dyDescent="0.25">
      <c r="A106" s="397" t="s">
        <v>27</v>
      </c>
      <c r="B106" s="106" t="s">
        <v>192</v>
      </c>
      <c r="C106" s="106" t="s">
        <v>15</v>
      </c>
      <c r="D106" s="106" t="s">
        <v>84</v>
      </c>
      <c r="E106" s="106" t="s">
        <v>35</v>
      </c>
      <c r="F106" s="107" t="s">
        <v>28</v>
      </c>
      <c r="G106" s="99"/>
      <c r="H106" s="388"/>
      <c r="I106" s="99"/>
      <c r="J106" s="77"/>
      <c r="K106" s="77"/>
      <c r="L106" s="77"/>
      <c r="M106" s="77"/>
      <c r="N106" s="77"/>
      <c r="O106" s="77"/>
    </row>
    <row r="107" spans="1:15" ht="30" x14ac:dyDescent="0.25">
      <c r="A107" s="397" t="s">
        <v>125</v>
      </c>
      <c r="B107" s="106" t="s">
        <v>191</v>
      </c>
      <c r="C107" s="106" t="s">
        <v>16</v>
      </c>
      <c r="D107" s="106"/>
      <c r="E107" s="106" t="s">
        <v>46</v>
      </c>
      <c r="F107" s="107" t="s">
        <v>34</v>
      </c>
      <c r="G107" s="99"/>
      <c r="H107" s="388"/>
      <c r="I107" s="99"/>
      <c r="J107" s="77"/>
      <c r="K107" s="77"/>
      <c r="L107" s="77"/>
      <c r="M107" s="77"/>
      <c r="N107" s="77"/>
      <c r="O107" s="77"/>
    </row>
    <row r="108" spans="1:15" ht="15" x14ac:dyDescent="0.25">
      <c r="A108" s="396" t="s">
        <v>128</v>
      </c>
      <c r="B108" s="106" t="s">
        <v>193</v>
      </c>
      <c r="C108" s="106" t="s">
        <v>20</v>
      </c>
      <c r="D108" s="106"/>
      <c r="E108" s="106" t="s">
        <v>44</v>
      </c>
      <c r="F108" s="107" t="s">
        <v>142</v>
      </c>
      <c r="G108" s="99"/>
      <c r="H108" s="388"/>
      <c r="I108" s="99"/>
      <c r="J108" s="77"/>
      <c r="K108" s="77"/>
      <c r="L108" s="77"/>
      <c r="M108" s="77"/>
      <c r="N108" s="77"/>
      <c r="O108" s="77"/>
    </row>
    <row r="109" spans="1:15" ht="15" x14ac:dyDescent="0.25">
      <c r="A109" s="397" t="s">
        <v>326</v>
      </c>
      <c r="B109" s="106"/>
      <c r="C109" s="106" t="s">
        <v>19</v>
      </c>
      <c r="D109" s="106"/>
      <c r="E109" s="106" t="s">
        <v>37</v>
      </c>
      <c r="F109" s="107" t="s">
        <v>30</v>
      </c>
      <c r="G109" s="99"/>
      <c r="H109" s="388"/>
      <c r="I109" s="99"/>
      <c r="J109" s="77"/>
      <c r="K109" s="77"/>
      <c r="L109" s="77"/>
      <c r="M109" s="77"/>
      <c r="N109" s="77"/>
      <c r="O109" s="77"/>
    </row>
    <row r="110" spans="1:15" ht="30" x14ac:dyDescent="0.25">
      <c r="A110" s="396" t="s">
        <v>308</v>
      </c>
      <c r="B110" s="106"/>
      <c r="C110" s="106" t="s">
        <v>21</v>
      </c>
      <c r="D110" s="106"/>
      <c r="E110" s="106" t="s">
        <v>117</v>
      </c>
      <c r="F110" s="107" t="s">
        <v>121</v>
      </c>
      <c r="G110" s="99"/>
      <c r="H110" s="388"/>
      <c r="I110" s="99"/>
      <c r="J110" s="77"/>
      <c r="K110" s="77"/>
      <c r="L110" s="77"/>
      <c r="M110" s="77"/>
      <c r="N110" s="77"/>
      <c r="O110" s="77"/>
    </row>
    <row r="111" spans="1:15" ht="30" x14ac:dyDescent="0.25">
      <c r="A111" s="396" t="s">
        <v>309</v>
      </c>
      <c r="B111" s="106"/>
      <c r="C111" s="106" t="s">
        <v>14</v>
      </c>
      <c r="D111" s="106"/>
      <c r="E111" s="106" t="s">
        <v>42</v>
      </c>
      <c r="F111" s="107" t="s">
        <v>40</v>
      </c>
      <c r="G111" s="99"/>
      <c r="H111" s="388"/>
      <c r="I111" s="99"/>
      <c r="J111" s="77"/>
      <c r="K111" s="77"/>
      <c r="L111" s="77"/>
      <c r="M111" s="77"/>
      <c r="N111" s="77"/>
      <c r="O111" s="77"/>
    </row>
    <row r="112" spans="1:15" ht="30" x14ac:dyDescent="0.25">
      <c r="A112" s="396" t="s">
        <v>307</v>
      </c>
      <c r="B112" s="106"/>
      <c r="C112" s="106" t="s">
        <v>17</v>
      </c>
      <c r="D112" s="106"/>
      <c r="E112" s="106" t="s">
        <v>38</v>
      </c>
      <c r="F112" s="107" t="s">
        <v>31</v>
      </c>
      <c r="G112" s="99"/>
      <c r="H112" s="388"/>
      <c r="I112" s="99"/>
      <c r="J112" s="77"/>
      <c r="K112" s="77"/>
      <c r="L112" s="77"/>
      <c r="M112" s="77"/>
      <c r="N112" s="77"/>
      <c r="O112" s="77"/>
    </row>
    <row r="113" spans="1:15" ht="15" x14ac:dyDescent="0.25">
      <c r="A113" s="397" t="s">
        <v>4</v>
      </c>
      <c r="B113" s="106"/>
      <c r="C113" s="106"/>
      <c r="D113" s="106"/>
      <c r="E113" s="106" t="s">
        <v>41</v>
      </c>
      <c r="F113" s="107" t="s">
        <v>39</v>
      </c>
      <c r="G113" s="99"/>
      <c r="H113" s="388"/>
      <c r="I113" s="99"/>
      <c r="J113" s="77"/>
      <c r="K113" s="77"/>
      <c r="L113" s="77"/>
      <c r="M113" s="77"/>
      <c r="N113" s="77"/>
      <c r="O113" s="77"/>
    </row>
    <row r="114" spans="1:15" ht="15" x14ac:dyDescent="0.25">
      <c r="A114" s="397" t="s">
        <v>126</v>
      </c>
      <c r="B114" s="106"/>
      <c r="C114" s="106"/>
      <c r="D114" s="106"/>
      <c r="E114" s="106" t="s">
        <v>43</v>
      </c>
      <c r="F114" s="107" t="s">
        <v>120</v>
      </c>
      <c r="G114" s="99"/>
      <c r="H114" s="388"/>
      <c r="I114" s="99"/>
      <c r="J114" s="77"/>
      <c r="K114" s="77"/>
      <c r="L114" s="77"/>
      <c r="M114" s="77"/>
      <c r="N114" s="77"/>
      <c r="O114" s="77"/>
    </row>
    <row r="115" spans="1:15" x14ac:dyDescent="0.25">
      <c r="A115" s="2" t="s">
        <v>238</v>
      </c>
      <c r="B115" s="2"/>
      <c r="C115" s="2"/>
      <c r="D115" s="2"/>
      <c r="E115" s="2" t="s">
        <v>118</v>
      </c>
      <c r="F115" s="2" t="s">
        <v>122</v>
      </c>
      <c r="G115" s="2"/>
      <c r="H115" s="3"/>
      <c r="I115" s="2"/>
    </row>
    <row r="116" spans="1:15" x14ac:dyDescent="0.25">
      <c r="A116" s="2" t="s">
        <v>183</v>
      </c>
      <c r="B116" s="2"/>
      <c r="C116" s="2"/>
      <c r="D116" s="2"/>
      <c r="E116" s="2" t="s">
        <v>45</v>
      </c>
      <c r="F116" s="2" t="s">
        <v>32</v>
      </c>
      <c r="G116" s="2"/>
      <c r="H116" s="3"/>
      <c r="I116" s="2"/>
    </row>
    <row r="117" spans="1:15" ht="15" x14ac:dyDescent="0.25">
      <c r="A117" s="2"/>
      <c r="B117" s="2"/>
      <c r="C117" s="2"/>
      <c r="D117" s="2"/>
      <c r="E117" s="106" t="s">
        <v>142</v>
      </c>
      <c r="F117" s="2"/>
      <c r="G117" s="2"/>
      <c r="H117" s="3"/>
      <c r="I117" s="2"/>
    </row>
    <row r="118" spans="1:15" x14ac:dyDescent="0.25">
      <c r="A118" s="2"/>
      <c r="B118" s="2"/>
      <c r="C118" s="2"/>
      <c r="D118" s="2"/>
      <c r="E118" s="2"/>
      <c r="F118" s="2"/>
      <c r="G118" s="2"/>
      <c r="H118" s="3"/>
      <c r="I118" s="2"/>
    </row>
    <row r="119" spans="1:15" x14ac:dyDescent="0.25">
      <c r="A119" s="2"/>
      <c r="B119" s="2"/>
      <c r="C119" s="2"/>
      <c r="D119" s="2"/>
      <c r="E119" s="2"/>
      <c r="F119" s="2"/>
      <c r="G119" s="2"/>
      <c r="H119" s="3"/>
      <c r="I119" s="2"/>
    </row>
    <row r="120" spans="1:15" x14ac:dyDescent="0.25">
      <c r="A120" s="2"/>
      <c r="B120" s="2"/>
      <c r="C120" s="2"/>
      <c r="D120" s="2"/>
      <c r="E120" s="2"/>
      <c r="F120" s="2"/>
      <c r="G120" s="2"/>
      <c r="H120" s="3"/>
      <c r="I120" s="2"/>
    </row>
    <row r="121" spans="1:15" x14ac:dyDescent="0.25">
      <c r="A121" s="2"/>
      <c r="B121" s="2"/>
      <c r="C121" s="2"/>
      <c r="D121" s="2"/>
      <c r="E121" s="2"/>
      <c r="F121" s="2"/>
      <c r="G121" s="2"/>
      <c r="H121" s="3"/>
      <c r="I121" s="2"/>
    </row>
    <row r="122" spans="1:15" x14ac:dyDescent="0.25">
      <c r="A122" s="2"/>
      <c r="B122" s="2"/>
      <c r="C122" s="2"/>
      <c r="D122" s="2"/>
      <c r="E122" s="2"/>
      <c r="F122" s="2"/>
      <c r="G122" s="2"/>
      <c r="H122" s="3"/>
      <c r="I122" s="2"/>
    </row>
    <row r="123" spans="1:15" x14ac:dyDescent="0.25">
      <c r="A123" s="2"/>
      <c r="B123" s="2"/>
      <c r="C123" s="2"/>
      <c r="D123" s="2"/>
      <c r="E123" s="2"/>
      <c r="F123" s="2"/>
      <c r="G123" s="2"/>
      <c r="H123" s="3"/>
      <c r="I123" s="2"/>
    </row>
    <row r="124" spans="1:15" x14ac:dyDescent="0.25">
      <c r="A124" s="2"/>
      <c r="B124" s="2"/>
      <c r="C124" s="2"/>
      <c r="D124" s="2"/>
      <c r="E124" s="2"/>
      <c r="F124" s="2"/>
      <c r="G124" s="2"/>
      <c r="H124" s="3"/>
      <c r="I124" s="2"/>
    </row>
    <row r="125" spans="1:15" x14ac:dyDescent="0.25">
      <c r="A125" s="2"/>
      <c r="B125" s="2"/>
      <c r="C125" s="2"/>
      <c r="D125" s="2"/>
      <c r="E125" s="2"/>
      <c r="F125" s="2"/>
      <c r="G125" s="2"/>
      <c r="H125" s="3"/>
      <c r="I125" s="2"/>
    </row>
    <row r="126" spans="1:15" x14ac:dyDescent="0.25">
      <c r="A126" s="2"/>
      <c r="B126" s="2"/>
      <c r="C126" s="2"/>
      <c r="D126" s="2"/>
      <c r="E126" s="2"/>
      <c r="F126" s="2"/>
      <c r="G126" s="2"/>
      <c r="H126" s="3"/>
      <c r="I126" s="2"/>
    </row>
    <row r="127" spans="1:15" x14ac:dyDescent="0.25">
      <c r="A127" s="2"/>
      <c r="B127" s="2"/>
      <c r="C127" s="2"/>
      <c r="D127" s="2"/>
      <c r="E127" s="2"/>
      <c r="F127" s="2"/>
      <c r="G127" s="2"/>
      <c r="H127" s="3"/>
      <c r="I127" s="2"/>
    </row>
    <row r="128" spans="1:15" x14ac:dyDescent="0.25">
      <c r="A128" s="2"/>
      <c r="B128" s="2"/>
      <c r="C128" s="2"/>
      <c r="D128" s="2"/>
      <c r="E128" s="2"/>
      <c r="F128" s="2"/>
      <c r="G128" s="2"/>
      <c r="H128" s="3"/>
      <c r="I128" s="2"/>
    </row>
    <row r="129" spans="1:9" x14ac:dyDescent="0.25">
      <c r="A129" s="2"/>
      <c r="B129" s="2"/>
      <c r="C129" s="2"/>
      <c r="D129" s="2"/>
      <c r="E129" s="2"/>
      <c r="F129" s="2"/>
      <c r="G129" s="2"/>
      <c r="H129" s="3"/>
      <c r="I129" s="2"/>
    </row>
  </sheetData>
  <mergeCells count="7">
    <mergeCell ref="A101:F102"/>
    <mergeCell ref="A1:O1"/>
    <mergeCell ref="A3:O3"/>
    <mergeCell ref="A11:O11"/>
    <mergeCell ref="A35:O35"/>
    <mergeCell ref="A47:O47"/>
    <mergeCell ref="A48:F48"/>
  </mergeCells>
  <dataValidations count="7">
    <dataValidation type="list" allowBlank="1" showInputMessage="1" showErrorMessage="1" sqref="F5:F10 F14:F18 F37 F22:F31" xr:uid="{00000000-0002-0000-1700-000000000000}">
      <formula1>$E$110:$E$124</formula1>
    </dataValidation>
    <dataValidation type="list" allowBlank="1" showInputMessage="1" showErrorMessage="1" sqref="G5:G10 G14:G18 G37 G22:G31" xr:uid="{00000000-0002-0000-1700-000001000000}">
      <formula1>$C$110:$C$118</formula1>
    </dataValidation>
    <dataValidation type="list" allowBlank="1" showInputMessage="1" showErrorMessage="1" sqref="A5:A10 A37 A14:A18 A22:A31" xr:uid="{00000000-0002-0000-1700-000002000000}">
      <formula1>$D$110:$D$112</formula1>
    </dataValidation>
    <dataValidation type="list" allowBlank="1" showInputMessage="1" showErrorMessage="1" sqref="B5:B10 B22:B31 B14:B18 B37" xr:uid="{00000000-0002-0000-1700-000003000000}">
      <formula1>$B$110:$B$114</formula1>
    </dataValidation>
    <dataValidation type="list" allowBlank="1" showInputMessage="1" showErrorMessage="1" sqref="E5:E10 E22:E31 E37 E14:E18" xr:uid="{00000000-0002-0000-1700-000004000000}">
      <formula1>$F$110:$F$124</formula1>
    </dataValidation>
    <dataValidation type="list" allowBlank="1" showInputMessage="1" showErrorMessage="1" sqref="C22:D31 C14:D18 C37:D37 C5:D10" xr:uid="{00000000-0002-0000-1700-000005000000}">
      <formula1>$A$110:$A$122</formula1>
    </dataValidation>
    <dataValidation type="list" allowBlank="1" showInputMessage="1" showErrorMessage="1" sqref="E40 C39:D46" xr:uid="{00000000-0002-0000-1700-000006000000}">
      <formula1>#REF!</formula1>
    </dataValidation>
  </dataValidation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3">
    <tabColor rgb="FFFF5050"/>
  </sheetPr>
  <dimension ref="A1:EA129"/>
  <sheetViews>
    <sheetView topLeftCell="CU1" zoomScale="70" zoomScaleNormal="70" workbookViewId="0">
      <selection activeCell="K6" sqref="K6"/>
    </sheetView>
  </sheetViews>
  <sheetFormatPr defaultColWidth="8.77734375" defaultRowHeight="13.2" x14ac:dyDescent="0.25"/>
  <cols>
    <col min="1" max="15" width="26.44140625" customWidth="1"/>
  </cols>
  <sheetData>
    <row r="1" spans="1:131" ht="18" thickBot="1" x14ac:dyDescent="0.3">
      <c r="A1" s="900" t="s">
        <v>310</v>
      </c>
      <c r="B1" s="900"/>
      <c r="C1" s="900"/>
      <c r="D1" s="900"/>
      <c r="E1" s="900"/>
      <c r="F1" s="900"/>
      <c r="G1" s="900"/>
      <c r="H1" s="900"/>
      <c r="I1" s="900"/>
      <c r="J1" s="900"/>
      <c r="K1" s="900"/>
      <c r="L1" s="900"/>
      <c r="M1" s="900"/>
      <c r="N1" s="900"/>
      <c r="O1" s="900"/>
    </row>
    <row r="2" spans="1:131" ht="17.399999999999999" x14ac:dyDescent="0.25">
      <c r="A2" s="492" t="s">
        <v>188</v>
      </c>
      <c r="B2" s="175"/>
      <c r="C2" s="492"/>
      <c r="D2" s="492"/>
      <c r="E2" s="492"/>
      <c r="F2" s="492"/>
      <c r="G2" s="492"/>
      <c r="H2" s="381"/>
      <c r="I2" s="492"/>
      <c r="J2" s="399"/>
      <c r="K2" s="399"/>
      <c r="L2" s="399"/>
      <c r="M2" s="399"/>
      <c r="N2" s="399"/>
      <c r="O2" s="399"/>
    </row>
    <row r="3" spans="1:131" ht="15" x14ac:dyDescent="0.25">
      <c r="A3" s="901" t="s">
        <v>204</v>
      </c>
      <c r="B3" s="902"/>
      <c r="C3" s="902"/>
      <c r="D3" s="902"/>
      <c r="E3" s="902"/>
      <c r="F3" s="902"/>
      <c r="G3" s="902"/>
      <c r="H3" s="902"/>
      <c r="I3" s="902"/>
      <c r="J3" s="902"/>
      <c r="K3" s="902"/>
      <c r="L3" s="902"/>
      <c r="M3" s="902"/>
      <c r="N3" s="902"/>
      <c r="O3" s="903"/>
    </row>
    <row r="4" spans="1:131" ht="60" x14ac:dyDescent="0.25">
      <c r="A4" s="176" t="s">
        <v>89</v>
      </c>
      <c r="B4" s="176" t="s">
        <v>90</v>
      </c>
      <c r="C4" s="177" t="s">
        <v>0</v>
      </c>
      <c r="D4" s="177" t="s">
        <v>124</v>
      </c>
      <c r="E4" s="176" t="s">
        <v>143</v>
      </c>
      <c r="F4" s="176" t="s">
        <v>144</v>
      </c>
      <c r="G4" s="176" t="s">
        <v>13</v>
      </c>
      <c r="H4" s="382" t="s">
        <v>88</v>
      </c>
      <c r="I4" s="176" t="s">
        <v>12</v>
      </c>
      <c r="J4" s="400" t="s">
        <v>158</v>
      </c>
      <c r="K4" s="400" t="s">
        <v>148</v>
      </c>
      <c r="L4" s="400" t="s">
        <v>180</v>
      </c>
      <c r="M4" s="400" t="s">
        <v>104</v>
      </c>
      <c r="N4" s="400" t="s">
        <v>179</v>
      </c>
      <c r="O4" s="400" t="s">
        <v>205</v>
      </c>
    </row>
    <row r="5" spans="1:131" ht="30" x14ac:dyDescent="0.25">
      <c r="A5" s="482" t="s">
        <v>84</v>
      </c>
      <c r="B5" s="482" t="s">
        <v>3</v>
      </c>
      <c r="C5" s="482" t="s">
        <v>307</v>
      </c>
      <c r="D5" s="482" t="s">
        <v>307</v>
      </c>
      <c r="E5" s="327" t="s">
        <v>120</v>
      </c>
      <c r="F5" s="457" t="s">
        <v>44</v>
      </c>
      <c r="G5" s="482" t="s">
        <v>14</v>
      </c>
      <c r="H5" s="483">
        <v>44423</v>
      </c>
      <c r="I5" s="482" t="s">
        <v>23</v>
      </c>
      <c r="J5" s="350">
        <v>143.66999999999999</v>
      </c>
      <c r="K5" s="350">
        <f>'Jan13'!K5</f>
        <v>118.16</v>
      </c>
      <c r="L5" s="350">
        <f t="shared" ref="L5:L8" si="0">N5-M5</f>
        <v>17.109099429999997</v>
      </c>
      <c r="M5" s="350">
        <f t="shared" ref="M5:N8" si="1">-DZ5/1000000</f>
        <v>0.15601909</v>
      </c>
      <c r="N5" s="350">
        <f t="shared" si="1"/>
        <v>17.265118519999998</v>
      </c>
      <c r="O5" s="88"/>
      <c r="DZ5">
        <v>-156019.09</v>
      </c>
      <c r="EA5">
        <v>-17265118.52</v>
      </c>
    </row>
    <row r="6" spans="1:131" ht="30" x14ac:dyDescent="0.25">
      <c r="A6" s="485" t="s">
        <v>84</v>
      </c>
      <c r="B6" s="485" t="s">
        <v>3</v>
      </c>
      <c r="C6" s="485" t="s">
        <v>307</v>
      </c>
      <c r="D6" s="485" t="s">
        <v>307</v>
      </c>
      <c r="E6" s="329" t="s">
        <v>120</v>
      </c>
      <c r="F6" s="458" t="s">
        <v>44</v>
      </c>
      <c r="G6" s="485" t="s">
        <v>14</v>
      </c>
      <c r="H6" s="93">
        <v>44576</v>
      </c>
      <c r="I6" s="485" t="s">
        <v>24</v>
      </c>
      <c r="J6" s="351">
        <v>27.4</v>
      </c>
      <c r="K6" s="351">
        <f>'Jan13'!K6</f>
        <v>25.83</v>
      </c>
      <c r="L6" s="351">
        <f t="shared" si="0"/>
        <v>4.3753830799999998</v>
      </c>
      <c r="M6" s="351">
        <f t="shared" si="1"/>
        <v>6.2372219999999999E-2</v>
      </c>
      <c r="N6" s="351">
        <f t="shared" si="1"/>
        <v>4.4377553000000001</v>
      </c>
      <c r="O6" s="96"/>
      <c r="DZ6">
        <v>-62372.22</v>
      </c>
      <c r="EA6">
        <v>-4437755.3</v>
      </c>
    </row>
    <row r="7" spans="1:131" ht="30" x14ac:dyDescent="0.25">
      <c r="A7" s="482" t="s">
        <v>84</v>
      </c>
      <c r="B7" s="482" t="s">
        <v>3</v>
      </c>
      <c r="C7" s="482" t="s">
        <v>308</v>
      </c>
      <c r="D7" s="482" t="s">
        <v>308</v>
      </c>
      <c r="E7" s="327" t="s">
        <v>39</v>
      </c>
      <c r="F7" s="457" t="s">
        <v>38</v>
      </c>
      <c r="G7" s="482" t="s">
        <v>14</v>
      </c>
      <c r="H7" s="483">
        <v>44576</v>
      </c>
      <c r="I7" s="482" t="s">
        <v>24</v>
      </c>
      <c r="J7" s="350">
        <v>26.85</v>
      </c>
      <c r="K7" s="350">
        <f>'Jan13'!K7</f>
        <v>25.38</v>
      </c>
      <c r="L7" s="350">
        <f t="shared" si="0"/>
        <v>4.2894699999999997</v>
      </c>
      <c r="M7" s="350">
        <f t="shared" si="1"/>
        <v>6.1273519999999998E-2</v>
      </c>
      <c r="N7" s="350">
        <f t="shared" si="1"/>
        <v>4.35074352</v>
      </c>
      <c r="O7" s="88"/>
      <c r="DZ7">
        <v>-61273.52</v>
      </c>
      <c r="EA7">
        <v>-4350743.5199999996</v>
      </c>
    </row>
    <row r="8" spans="1:131" ht="30" x14ac:dyDescent="0.25">
      <c r="A8" s="485" t="s">
        <v>84</v>
      </c>
      <c r="B8" s="485" t="s">
        <v>3</v>
      </c>
      <c r="C8" s="485" t="s">
        <v>309</v>
      </c>
      <c r="D8" s="485" t="s">
        <v>125</v>
      </c>
      <c r="E8" s="329" t="s">
        <v>39</v>
      </c>
      <c r="F8" s="458" t="s">
        <v>42</v>
      </c>
      <c r="G8" s="485" t="s">
        <v>14</v>
      </c>
      <c r="H8" s="93">
        <v>46296</v>
      </c>
      <c r="I8" s="485" t="s">
        <v>25</v>
      </c>
      <c r="J8" s="351">
        <v>40.880000000000003</v>
      </c>
      <c r="K8" s="351">
        <f>'Jan13'!K8</f>
        <v>37.659999999999997</v>
      </c>
      <c r="L8" s="351">
        <f t="shared" si="0"/>
        <v>6.3657923199999997</v>
      </c>
      <c r="M8" s="351">
        <f t="shared" si="1"/>
        <v>8.1820929999999986E-2</v>
      </c>
      <c r="N8" s="351">
        <f t="shared" si="1"/>
        <v>6.4476132499999999</v>
      </c>
      <c r="O8" s="96"/>
      <c r="DZ8">
        <v>-81820.929999999993</v>
      </c>
      <c r="EA8">
        <v>-6447613.25</v>
      </c>
    </row>
    <row r="9" spans="1:131" ht="15" x14ac:dyDescent="0.25">
      <c r="A9" s="111"/>
      <c r="B9" s="111"/>
      <c r="C9" s="111"/>
      <c r="D9" s="111"/>
      <c r="E9" s="123"/>
      <c r="F9" s="111"/>
      <c r="G9" s="111"/>
      <c r="H9" s="114"/>
      <c r="I9" s="111"/>
      <c r="J9" s="352"/>
      <c r="K9" s="352"/>
      <c r="L9" s="352"/>
      <c r="M9" s="352"/>
      <c r="N9" s="353"/>
      <c r="O9" s="353"/>
    </row>
    <row r="10" spans="1:131" ht="15" x14ac:dyDescent="0.25">
      <c r="A10" s="485"/>
      <c r="B10" s="485"/>
      <c r="C10" s="485"/>
      <c r="D10" s="485"/>
      <c r="E10" s="329"/>
      <c r="F10" s="485"/>
      <c r="G10" s="485"/>
      <c r="H10" s="93"/>
      <c r="I10" s="485"/>
      <c r="J10" s="351"/>
      <c r="K10" s="351"/>
      <c r="L10" s="351"/>
      <c r="M10" s="351"/>
      <c r="N10" s="96"/>
      <c r="O10" s="96"/>
    </row>
    <row r="11" spans="1:131" ht="15" x14ac:dyDescent="0.25">
      <c r="A11" s="901" t="s">
        <v>203</v>
      </c>
      <c r="B11" s="902"/>
      <c r="C11" s="902"/>
      <c r="D11" s="902"/>
      <c r="E11" s="902"/>
      <c r="F11" s="902"/>
      <c r="G11" s="902"/>
      <c r="H11" s="902"/>
      <c r="I11" s="902"/>
      <c r="J11" s="902"/>
      <c r="K11" s="902"/>
      <c r="L11" s="902"/>
      <c r="M11" s="902"/>
      <c r="N11" s="902"/>
      <c r="O11" s="903"/>
    </row>
    <row r="12" spans="1:131" ht="60" x14ac:dyDescent="0.25">
      <c r="A12" s="176" t="s">
        <v>89</v>
      </c>
      <c r="B12" s="176" t="s">
        <v>90</v>
      </c>
      <c r="C12" s="177" t="s">
        <v>0</v>
      </c>
      <c r="D12" s="180" t="s">
        <v>124</v>
      </c>
      <c r="E12" s="176" t="s">
        <v>143</v>
      </c>
      <c r="F12" s="176" t="s">
        <v>144</v>
      </c>
      <c r="G12" s="176" t="s">
        <v>13</v>
      </c>
      <c r="H12" s="382" t="s">
        <v>88</v>
      </c>
      <c r="I12" s="176" t="s">
        <v>12</v>
      </c>
      <c r="J12" s="400" t="s">
        <v>150</v>
      </c>
      <c r="K12" s="400" t="s">
        <v>151</v>
      </c>
      <c r="L12" s="400" t="s">
        <v>157</v>
      </c>
      <c r="M12" s="400" t="s">
        <v>149</v>
      </c>
      <c r="N12" s="400" t="s">
        <v>179</v>
      </c>
      <c r="O12" s="400" t="s">
        <v>205</v>
      </c>
    </row>
    <row r="13" spans="1:131" ht="15" x14ac:dyDescent="0.25">
      <c r="A13" s="184" t="s">
        <v>197</v>
      </c>
      <c r="B13" s="184"/>
      <c r="C13" s="185"/>
      <c r="D13" s="185"/>
      <c r="E13" s="184"/>
      <c r="F13" s="184"/>
      <c r="G13" s="184"/>
      <c r="H13" s="383"/>
      <c r="I13" s="184"/>
      <c r="J13" s="403"/>
      <c r="K13" s="403"/>
      <c r="L13" s="403"/>
      <c r="M13" s="403"/>
      <c r="N13" s="403"/>
      <c r="O13" s="404"/>
    </row>
    <row r="14" spans="1:131" ht="30" x14ac:dyDescent="0.25">
      <c r="A14" s="482" t="s">
        <v>8</v>
      </c>
      <c r="B14" s="485" t="s">
        <v>193</v>
      </c>
      <c r="C14" s="482" t="s">
        <v>239</v>
      </c>
      <c r="D14" s="482" t="s">
        <v>238</v>
      </c>
      <c r="E14" s="327" t="s">
        <v>32</v>
      </c>
      <c r="F14" s="327" t="s">
        <v>45</v>
      </c>
      <c r="G14" s="482" t="s">
        <v>22</v>
      </c>
      <c r="H14" s="483">
        <v>41455</v>
      </c>
      <c r="I14" s="482" t="s">
        <v>131</v>
      </c>
      <c r="J14" s="88">
        <v>26.77</v>
      </c>
      <c r="K14" s="88">
        <v>-20.22</v>
      </c>
      <c r="L14" s="488">
        <v>6.5500000000000007</v>
      </c>
      <c r="M14" s="88"/>
      <c r="N14" s="88"/>
      <c r="O14" s="88"/>
    </row>
    <row r="15" spans="1:131" ht="30" x14ac:dyDescent="0.25">
      <c r="A15" s="485" t="s">
        <v>8</v>
      </c>
      <c r="B15" s="485" t="s">
        <v>193</v>
      </c>
      <c r="C15" s="485" t="s">
        <v>239</v>
      </c>
      <c r="D15" s="485" t="s">
        <v>238</v>
      </c>
      <c r="E15" s="485" t="s">
        <v>32</v>
      </c>
      <c r="F15" s="485" t="s">
        <v>45</v>
      </c>
      <c r="G15" s="485" t="s">
        <v>22</v>
      </c>
      <c r="H15" s="385">
        <v>41820</v>
      </c>
      <c r="I15" s="485" t="s">
        <v>132</v>
      </c>
      <c r="J15" s="379">
        <v>17.88</v>
      </c>
      <c r="K15" s="379"/>
      <c r="L15" s="489">
        <v>17.88</v>
      </c>
      <c r="M15" s="379"/>
      <c r="N15" s="379"/>
      <c r="O15" s="379"/>
    </row>
    <row r="16" spans="1:131" ht="30" x14ac:dyDescent="0.25">
      <c r="A16" s="482" t="s">
        <v>8</v>
      </c>
      <c r="B16" s="482" t="s">
        <v>193</v>
      </c>
      <c r="C16" s="482" t="s">
        <v>239</v>
      </c>
      <c r="D16" s="482" t="s">
        <v>238</v>
      </c>
      <c r="E16" s="482" t="s">
        <v>32</v>
      </c>
      <c r="F16" s="482" t="s">
        <v>45</v>
      </c>
      <c r="G16" s="482" t="s">
        <v>22</v>
      </c>
      <c r="H16" s="386">
        <v>42185</v>
      </c>
      <c r="I16" s="482" t="s">
        <v>133</v>
      </c>
      <c r="J16" s="380">
        <v>13.56</v>
      </c>
      <c r="K16" s="380"/>
      <c r="L16" s="488">
        <v>13.56</v>
      </c>
      <c r="M16" s="380"/>
      <c r="N16" s="380"/>
      <c r="O16" s="380"/>
    </row>
    <row r="17" spans="1:15" ht="30" x14ac:dyDescent="0.25">
      <c r="A17" s="485" t="s">
        <v>8</v>
      </c>
      <c r="B17" s="485" t="s">
        <v>193</v>
      </c>
      <c r="C17" s="485" t="s">
        <v>239</v>
      </c>
      <c r="D17" s="485" t="s">
        <v>238</v>
      </c>
      <c r="E17" s="485" t="s">
        <v>32</v>
      </c>
      <c r="F17" s="485" t="s">
        <v>45</v>
      </c>
      <c r="G17" s="485" t="s">
        <v>22</v>
      </c>
      <c r="H17" s="385">
        <v>42551</v>
      </c>
      <c r="I17" s="485" t="s">
        <v>300</v>
      </c>
      <c r="J17" s="379">
        <v>1.1100000000000001</v>
      </c>
      <c r="K17" s="379"/>
      <c r="L17" s="490">
        <v>1.1100000000000001</v>
      </c>
      <c r="M17" s="379"/>
      <c r="N17" s="379"/>
      <c r="O17" s="379"/>
    </row>
    <row r="18" spans="1:15" ht="15" x14ac:dyDescent="0.25">
      <c r="A18" s="181"/>
      <c r="B18" s="181"/>
      <c r="C18" s="181"/>
      <c r="D18" s="181"/>
      <c r="E18" s="182"/>
      <c r="F18" s="181"/>
      <c r="G18" s="181"/>
      <c r="H18" s="183" t="s">
        <v>206</v>
      </c>
      <c r="I18" s="181"/>
      <c r="J18" s="354">
        <v>59.32</v>
      </c>
      <c r="K18" s="354">
        <v>-20.22</v>
      </c>
      <c r="L18" s="354">
        <v>39.1</v>
      </c>
      <c r="M18" s="354">
        <v>34.356144999999998</v>
      </c>
      <c r="N18" s="354">
        <v>4.7438549999999999</v>
      </c>
      <c r="O18" s="354">
        <v>35</v>
      </c>
    </row>
    <row r="19" spans="1:15" ht="15" x14ac:dyDescent="0.25">
      <c r="A19" s="181" t="s">
        <v>295</v>
      </c>
      <c r="B19" s="181"/>
      <c r="C19" s="181"/>
      <c r="D19" s="181"/>
      <c r="E19" s="182"/>
      <c r="F19" s="181"/>
      <c r="G19" s="181"/>
      <c r="H19" s="183"/>
      <c r="I19" s="181"/>
      <c r="J19" s="354"/>
      <c r="K19" s="354"/>
      <c r="L19" s="354"/>
      <c r="M19" s="354"/>
      <c r="N19" s="354"/>
      <c r="O19" s="354"/>
    </row>
    <row r="20" spans="1:15" ht="15" x14ac:dyDescent="0.25">
      <c r="A20" s="184" t="s">
        <v>327</v>
      </c>
      <c r="B20" s="184"/>
      <c r="C20" s="185"/>
      <c r="D20" s="185"/>
      <c r="E20" s="184"/>
      <c r="F20" s="184"/>
      <c r="G20" s="184"/>
      <c r="H20" s="383"/>
      <c r="I20" s="184"/>
      <c r="J20" s="459"/>
      <c r="K20" s="459"/>
      <c r="L20" s="459"/>
      <c r="M20" s="459"/>
      <c r="N20" s="459"/>
      <c r="O20" s="186"/>
    </row>
    <row r="21" spans="1:15" ht="30" x14ac:dyDescent="0.25">
      <c r="A21" s="482" t="s">
        <v>8</v>
      </c>
      <c r="B21" s="482" t="s">
        <v>193</v>
      </c>
      <c r="C21" s="482" t="s">
        <v>27</v>
      </c>
      <c r="D21" s="482" t="s">
        <v>127</v>
      </c>
      <c r="E21" s="327" t="s">
        <v>33</v>
      </c>
      <c r="F21" s="327" t="s">
        <v>45</v>
      </c>
      <c r="G21" s="482" t="s">
        <v>22</v>
      </c>
      <c r="H21" s="483">
        <v>41455</v>
      </c>
      <c r="I21" s="482" t="s">
        <v>137</v>
      </c>
      <c r="J21" s="88">
        <v>5.2490547599999999</v>
      </c>
      <c r="K21" s="88">
        <v>-3.3503034</v>
      </c>
      <c r="L21" s="488">
        <v>1.8987513599999999</v>
      </c>
      <c r="M21" s="486"/>
      <c r="N21" s="486"/>
      <c r="O21" s="486"/>
    </row>
    <row r="22" spans="1:15" ht="30" x14ac:dyDescent="0.25">
      <c r="A22" s="482" t="s">
        <v>8</v>
      </c>
      <c r="B22" s="485" t="s">
        <v>193</v>
      </c>
      <c r="C22" s="485" t="s">
        <v>27</v>
      </c>
      <c r="D22" s="485" t="s">
        <v>127</v>
      </c>
      <c r="E22" s="485" t="s">
        <v>33</v>
      </c>
      <c r="F22" s="485" t="s">
        <v>45</v>
      </c>
      <c r="G22" s="485" t="s">
        <v>22</v>
      </c>
      <c r="H22" s="385">
        <v>41820</v>
      </c>
      <c r="I22" s="485" t="s">
        <v>138</v>
      </c>
      <c r="J22" s="379">
        <v>0.92112859999999996</v>
      </c>
      <c r="K22" s="379">
        <v>0</v>
      </c>
      <c r="L22" s="489">
        <v>0.92112859999999996</v>
      </c>
      <c r="M22" s="484"/>
      <c r="N22" s="484"/>
      <c r="O22" s="484"/>
    </row>
    <row r="23" spans="1:15" ht="30" x14ac:dyDescent="0.25">
      <c r="A23" s="482" t="s">
        <v>8</v>
      </c>
      <c r="B23" s="482" t="s">
        <v>193</v>
      </c>
      <c r="C23" s="482" t="s">
        <v>27</v>
      </c>
      <c r="D23" s="482" t="s">
        <v>127</v>
      </c>
      <c r="E23" s="482" t="s">
        <v>33</v>
      </c>
      <c r="F23" s="482" t="s">
        <v>45</v>
      </c>
      <c r="G23" s="482" t="s">
        <v>22</v>
      </c>
      <c r="H23" s="386">
        <v>42185</v>
      </c>
      <c r="I23" s="482" t="s">
        <v>139</v>
      </c>
      <c r="J23" s="380"/>
      <c r="K23" s="380">
        <v>0</v>
      </c>
      <c r="L23" s="488">
        <v>0</v>
      </c>
      <c r="M23" s="487"/>
      <c r="N23" s="487"/>
      <c r="O23" s="487"/>
    </row>
    <row r="24" spans="1:15" ht="30" x14ac:dyDescent="0.25">
      <c r="A24" s="482" t="s">
        <v>8</v>
      </c>
      <c r="B24" s="485" t="s">
        <v>193</v>
      </c>
      <c r="C24" s="485" t="s">
        <v>27</v>
      </c>
      <c r="D24" s="485" t="s">
        <v>127</v>
      </c>
      <c r="E24" s="485" t="s">
        <v>33</v>
      </c>
      <c r="F24" s="485" t="s">
        <v>45</v>
      </c>
      <c r="G24" s="485" t="s">
        <v>22</v>
      </c>
      <c r="H24" s="385">
        <v>42551</v>
      </c>
      <c r="I24" s="485" t="s">
        <v>301</v>
      </c>
      <c r="J24" s="379"/>
      <c r="K24" s="379">
        <v>0</v>
      </c>
      <c r="L24" s="490">
        <v>0</v>
      </c>
      <c r="M24" s="484"/>
      <c r="N24" s="484"/>
      <c r="O24" s="484"/>
    </row>
    <row r="25" spans="1:15" ht="15" x14ac:dyDescent="0.25">
      <c r="A25" s="181" t="s">
        <v>324</v>
      </c>
      <c r="B25" s="181"/>
      <c r="C25" s="181"/>
      <c r="D25" s="181"/>
      <c r="E25" s="182"/>
      <c r="F25" s="181"/>
      <c r="G25" s="181"/>
      <c r="H25" s="183" t="s">
        <v>206</v>
      </c>
      <c r="I25" s="181"/>
      <c r="J25" s="354">
        <v>6.1701833600000002</v>
      </c>
      <c r="K25" s="354">
        <v>-3.3503034</v>
      </c>
      <c r="L25" s="354">
        <v>2.8198799599999997</v>
      </c>
      <c r="M25" s="354">
        <v>2.3935759769999998</v>
      </c>
      <c r="N25" s="354">
        <v>0.42630398299999989</v>
      </c>
      <c r="O25" s="354"/>
    </row>
    <row r="26" spans="1:15" ht="15" x14ac:dyDescent="0.25">
      <c r="A26" s="181"/>
      <c r="B26" s="181"/>
      <c r="C26" s="181"/>
      <c r="D26" s="181"/>
      <c r="E26" s="182"/>
      <c r="F26" s="181"/>
      <c r="G26" s="181"/>
      <c r="H26" s="183"/>
      <c r="I26" s="181"/>
      <c r="J26" s="354"/>
      <c r="K26" s="354"/>
      <c r="L26" s="354"/>
      <c r="M26" s="354"/>
      <c r="N26" s="354"/>
      <c r="O26" s="354"/>
    </row>
    <row r="27" spans="1:15" ht="15" x14ac:dyDescent="0.25">
      <c r="A27" s="184" t="s">
        <v>328</v>
      </c>
      <c r="B27" s="184"/>
      <c r="C27" s="185"/>
      <c r="D27" s="185"/>
      <c r="E27" s="184"/>
      <c r="F27" s="184"/>
      <c r="G27" s="184"/>
      <c r="H27" s="383"/>
      <c r="I27" s="184"/>
      <c r="J27" s="459"/>
      <c r="K27" s="459"/>
      <c r="L27" s="459"/>
      <c r="M27" s="459"/>
      <c r="N27" s="459"/>
      <c r="O27" s="186"/>
    </row>
    <row r="28" spans="1:15" ht="30" x14ac:dyDescent="0.25">
      <c r="A28" s="482" t="s">
        <v>8</v>
      </c>
      <c r="B28" s="482" t="s">
        <v>193</v>
      </c>
      <c r="C28" s="482" t="s">
        <v>92</v>
      </c>
      <c r="D28" s="482" t="s">
        <v>128</v>
      </c>
      <c r="E28" s="327" t="s">
        <v>33</v>
      </c>
      <c r="F28" s="327" t="s">
        <v>45</v>
      </c>
      <c r="G28" s="482" t="s">
        <v>22</v>
      </c>
      <c r="H28" s="483">
        <v>41455</v>
      </c>
      <c r="I28" s="482" t="s">
        <v>137</v>
      </c>
      <c r="J28" s="88">
        <v>0.78420411999999995</v>
      </c>
      <c r="K28" s="88">
        <v>-0.25534812000000001</v>
      </c>
      <c r="L28" s="488">
        <v>0.52885599999999999</v>
      </c>
      <c r="M28" s="379"/>
      <c r="N28" s="379"/>
      <c r="O28" s="379"/>
    </row>
    <row r="29" spans="1:15" ht="30" x14ac:dyDescent="0.25">
      <c r="A29" s="485" t="s">
        <v>8</v>
      </c>
      <c r="B29" s="485" t="s">
        <v>193</v>
      </c>
      <c r="C29" s="485" t="s">
        <v>92</v>
      </c>
      <c r="D29" s="485" t="s">
        <v>128</v>
      </c>
      <c r="E29" s="485" t="s">
        <v>33</v>
      </c>
      <c r="F29" s="485" t="s">
        <v>45</v>
      </c>
      <c r="G29" s="485" t="s">
        <v>22</v>
      </c>
      <c r="H29" s="385">
        <v>42185</v>
      </c>
      <c r="I29" s="485" t="s">
        <v>139</v>
      </c>
      <c r="J29" s="379">
        <v>2.7230235199999999</v>
      </c>
      <c r="K29" s="379">
        <v>0</v>
      </c>
      <c r="L29" s="489">
        <v>2.7230235199999999</v>
      </c>
      <c r="M29" s="380"/>
      <c r="N29" s="380"/>
      <c r="O29" s="380"/>
    </row>
    <row r="30" spans="1:15" ht="30" x14ac:dyDescent="0.25">
      <c r="A30" s="482" t="s">
        <v>8</v>
      </c>
      <c r="B30" s="482" t="s">
        <v>193</v>
      </c>
      <c r="C30" s="482" t="s">
        <v>92</v>
      </c>
      <c r="D30" s="482" t="s">
        <v>128</v>
      </c>
      <c r="E30" s="482" t="s">
        <v>33</v>
      </c>
      <c r="F30" s="482" t="s">
        <v>45</v>
      </c>
      <c r="G30" s="482" t="s">
        <v>22</v>
      </c>
      <c r="H30" s="386">
        <v>42185</v>
      </c>
      <c r="I30" s="482" t="s">
        <v>139</v>
      </c>
      <c r="J30" s="380">
        <v>1.5495680000000001</v>
      </c>
      <c r="K30" s="380">
        <v>0</v>
      </c>
      <c r="L30" s="488">
        <v>1.5495680000000001</v>
      </c>
      <c r="M30" s="379"/>
      <c r="N30" s="379"/>
      <c r="O30" s="379"/>
    </row>
    <row r="31" spans="1:15" ht="30" x14ac:dyDescent="0.25">
      <c r="A31" s="485" t="s">
        <v>8</v>
      </c>
      <c r="B31" s="485" t="s">
        <v>193</v>
      </c>
      <c r="C31" s="485" t="s">
        <v>92</v>
      </c>
      <c r="D31" s="485" t="s">
        <v>128</v>
      </c>
      <c r="E31" s="485" t="s">
        <v>33</v>
      </c>
      <c r="F31" s="485" t="s">
        <v>45</v>
      </c>
      <c r="G31" s="485" t="s">
        <v>22</v>
      </c>
      <c r="H31" s="385">
        <v>42551</v>
      </c>
      <c r="I31" s="485" t="s">
        <v>301</v>
      </c>
      <c r="J31" s="379">
        <v>0.72236800000000001</v>
      </c>
      <c r="K31" s="379">
        <v>0</v>
      </c>
      <c r="L31" s="490">
        <v>0.72236800000000001</v>
      </c>
      <c r="M31" s="380"/>
      <c r="N31" s="380"/>
      <c r="O31" s="380"/>
    </row>
    <row r="32" spans="1:15" ht="15" x14ac:dyDescent="0.25">
      <c r="A32" s="181"/>
      <c r="B32" s="181"/>
      <c r="C32" s="181"/>
      <c r="D32" s="181"/>
      <c r="E32" s="182"/>
      <c r="F32" s="181"/>
      <c r="G32" s="181"/>
      <c r="H32" s="183" t="s">
        <v>206</v>
      </c>
      <c r="I32" s="181"/>
      <c r="J32" s="354">
        <v>5.7791636400000002</v>
      </c>
      <c r="K32" s="354">
        <v>-0.25534812000000001</v>
      </c>
      <c r="L32" s="354">
        <v>5.5238155200000003</v>
      </c>
      <c r="M32" s="354">
        <v>5.8081922800000001</v>
      </c>
      <c r="N32" s="354">
        <v>-0.28437676000000023</v>
      </c>
      <c r="O32" s="354"/>
    </row>
    <row r="33" spans="1:15" ht="30" x14ac:dyDescent="0.25">
      <c r="A33" s="181" t="s">
        <v>296</v>
      </c>
      <c r="B33" s="181"/>
      <c r="C33" s="181"/>
      <c r="D33" s="181"/>
      <c r="E33" s="182"/>
      <c r="F33" s="181"/>
      <c r="G33" s="181"/>
      <c r="H33" s="183" t="s">
        <v>206</v>
      </c>
      <c r="I33" s="181"/>
      <c r="J33" s="354">
        <f>SUM(J25,J32)</f>
        <v>11.949346999999999</v>
      </c>
      <c r="K33" s="354">
        <f t="shared" ref="K33:N33" si="2">SUM(K25,K32)</f>
        <v>-3.6056515199999999</v>
      </c>
      <c r="L33" s="354">
        <f t="shared" si="2"/>
        <v>8.3436954800000009</v>
      </c>
      <c r="M33" s="354">
        <f t="shared" si="2"/>
        <v>8.2017682569999995</v>
      </c>
      <c r="N33" s="354">
        <f t="shared" si="2"/>
        <v>0.14192722299999966</v>
      </c>
      <c r="O33" s="354"/>
    </row>
    <row r="34" spans="1:15" ht="15" x14ac:dyDescent="0.25">
      <c r="A34" s="184" t="s">
        <v>298</v>
      </c>
      <c r="B34" s="184"/>
      <c r="C34" s="185"/>
      <c r="D34" s="185"/>
      <c r="E34" s="184"/>
      <c r="F34" s="184"/>
      <c r="G34" s="184"/>
      <c r="H34" s="383"/>
      <c r="I34" s="184"/>
      <c r="J34" s="403"/>
      <c r="K34" s="403"/>
      <c r="L34" s="403"/>
      <c r="M34" s="403"/>
      <c r="N34" s="403"/>
      <c r="O34" s="404"/>
    </row>
    <row r="35" spans="1:15" ht="15" x14ac:dyDescent="0.25">
      <c r="A35" s="901" t="s">
        <v>325</v>
      </c>
      <c r="B35" s="902"/>
      <c r="C35" s="902"/>
      <c r="D35" s="902"/>
      <c r="E35" s="902"/>
      <c r="F35" s="902"/>
      <c r="G35" s="902"/>
      <c r="H35" s="902"/>
      <c r="I35" s="902"/>
      <c r="J35" s="902"/>
      <c r="K35" s="902"/>
      <c r="L35" s="902"/>
      <c r="M35" s="902"/>
      <c r="N35" s="902"/>
      <c r="O35" s="903"/>
    </row>
    <row r="36" spans="1:15" ht="60" x14ac:dyDescent="0.25">
      <c r="A36" s="176" t="s">
        <v>89</v>
      </c>
      <c r="B36" s="176" t="s">
        <v>90</v>
      </c>
      <c r="C36" s="177" t="s">
        <v>0</v>
      </c>
      <c r="D36" s="177" t="s">
        <v>124</v>
      </c>
      <c r="E36" s="176" t="s">
        <v>143</v>
      </c>
      <c r="F36" s="176" t="s">
        <v>144</v>
      </c>
      <c r="G36" s="176" t="s">
        <v>13</v>
      </c>
      <c r="H36" s="382" t="s">
        <v>88</v>
      </c>
      <c r="I36" s="176" t="s">
        <v>12</v>
      </c>
      <c r="J36" s="400" t="s">
        <v>200</v>
      </c>
      <c r="K36" s="400" t="s">
        <v>199</v>
      </c>
      <c r="L36" s="400" t="s">
        <v>201</v>
      </c>
      <c r="M36" s="400" t="s">
        <v>149</v>
      </c>
      <c r="N36" s="400" t="s">
        <v>179</v>
      </c>
      <c r="O36" s="400" t="s">
        <v>304</v>
      </c>
    </row>
    <row r="37" spans="1:15" ht="30" x14ac:dyDescent="0.25">
      <c r="A37" s="485" t="s">
        <v>84</v>
      </c>
      <c r="B37" s="485" t="s">
        <v>9</v>
      </c>
      <c r="C37" s="485" t="s">
        <v>183</v>
      </c>
      <c r="D37" s="485" t="s">
        <v>142</v>
      </c>
      <c r="E37" s="329" t="s">
        <v>142</v>
      </c>
      <c r="F37" s="485" t="s">
        <v>142</v>
      </c>
      <c r="G37" s="485" t="s">
        <v>22</v>
      </c>
      <c r="H37" s="93">
        <v>41449</v>
      </c>
      <c r="I37" s="485" t="s">
        <v>172</v>
      </c>
      <c r="J37" s="96">
        <v>7.0349999999999996E-2</v>
      </c>
      <c r="K37" s="96" t="s">
        <v>299</v>
      </c>
      <c r="L37" s="292">
        <v>7.0349999999999996E-2</v>
      </c>
      <c r="M37" s="292">
        <f>+O37*50000/1000000</f>
        <v>6.528500000000001E-2</v>
      </c>
      <c r="N37" s="292">
        <f>IF(M37-L37&lt;0,0,M37-L37)</f>
        <v>0</v>
      </c>
      <c r="O37" s="96">
        <v>1.3057000000000001</v>
      </c>
    </row>
    <row r="38" spans="1:15" ht="30" x14ac:dyDescent="0.25">
      <c r="A38" s="111" t="s">
        <v>297</v>
      </c>
      <c r="B38" s="99"/>
      <c r="C38" s="2"/>
      <c r="D38" s="2"/>
      <c r="E38" s="2"/>
      <c r="F38" s="2"/>
      <c r="G38" s="2"/>
      <c r="H38" s="3"/>
      <c r="I38" s="2"/>
      <c r="J38" s="293"/>
      <c r="K38" s="293"/>
      <c r="L38" s="491">
        <f>L37</f>
        <v>7.0349999999999996E-2</v>
      </c>
      <c r="M38" s="144"/>
      <c r="N38" s="491">
        <f>N37</f>
        <v>0</v>
      </c>
      <c r="O38" s="144"/>
    </row>
    <row r="39" spans="1:15" ht="15" x14ac:dyDescent="0.25">
      <c r="A39" s="99"/>
      <c r="B39" s="99"/>
      <c r="C39" s="99"/>
      <c r="D39" s="99"/>
      <c r="E39" s="99"/>
      <c r="F39" s="99"/>
      <c r="G39" s="99"/>
      <c r="H39" s="388"/>
      <c r="I39" s="99"/>
      <c r="J39" s="144"/>
      <c r="K39" s="144"/>
      <c r="L39" s="144"/>
      <c r="M39" s="144"/>
      <c r="N39" s="144"/>
      <c r="O39" s="144"/>
    </row>
    <row r="40" spans="1:15" ht="15" x14ac:dyDescent="0.25">
      <c r="A40" s="99"/>
      <c r="B40" s="99"/>
      <c r="C40" s="99"/>
      <c r="D40" s="99"/>
      <c r="E40" s="99"/>
      <c r="F40" s="99"/>
      <c r="G40" s="99"/>
      <c r="H40" s="388"/>
      <c r="I40" s="99"/>
      <c r="J40" s="77"/>
      <c r="K40" s="144"/>
      <c r="L40" s="144"/>
      <c r="M40" s="77"/>
      <c r="N40" s="77"/>
      <c r="O40" s="77"/>
    </row>
    <row r="41" spans="1:15" ht="15" x14ac:dyDescent="0.25">
      <c r="A41" s="99"/>
      <c r="B41" s="99"/>
      <c r="C41" s="99"/>
      <c r="D41" s="99"/>
      <c r="E41" s="99"/>
      <c r="F41" s="99"/>
      <c r="G41" s="99"/>
      <c r="H41" s="388"/>
      <c r="I41" s="99"/>
      <c r="J41" s="77"/>
      <c r="K41" s="77"/>
      <c r="L41" s="77"/>
      <c r="M41" s="77"/>
      <c r="N41" s="77"/>
      <c r="O41" s="77"/>
    </row>
    <row r="42" spans="1:15" ht="15" x14ac:dyDescent="0.25">
      <c r="A42" s="99"/>
      <c r="B42" s="99"/>
      <c r="C42" s="99"/>
      <c r="D42" s="99"/>
      <c r="E42" s="99"/>
      <c r="F42" s="99"/>
      <c r="G42" s="99"/>
      <c r="H42" s="388"/>
      <c r="I42" s="99"/>
      <c r="J42" s="77"/>
      <c r="K42" s="77"/>
      <c r="L42" s="77"/>
      <c r="M42" s="77"/>
      <c r="N42" s="77"/>
      <c r="O42" s="77"/>
    </row>
    <row r="43" spans="1:15" ht="15" x14ac:dyDescent="0.25">
      <c r="A43" s="99"/>
      <c r="B43" s="99"/>
      <c r="C43" s="99"/>
      <c r="D43" s="99"/>
      <c r="E43" s="99"/>
      <c r="F43" s="99"/>
      <c r="G43" s="99"/>
      <c r="H43" s="388"/>
      <c r="I43" s="99"/>
      <c r="J43" s="77"/>
      <c r="K43" s="77"/>
      <c r="L43" s="77"/>
      <c r="M43" s="77"/>
      <c r="N43" s="77"/>
      <c r="O43" s="77"/>
    </row>
    <row r="44" spans="1:15" ht="15" x14ac:dyDescent="0.25">
      <c r="A44" s="99"/>
      <c r="B44" s="99"/>
      <c r="C44" s="99"/>
      <c r="D44" s="99"/>
      <c r="E44" s="99"/>
      <c r="F44" s="99"/>
      <c r="G44" s="99"/>
      <c r="H44" s="388"/>
      <c r="I44" s="99"/>
      <c r="J44" s="77"/>
      <c r="K44" s="77"/>
      <c r="L44" s="77"/>
      <c r="M44" s="77"/>
      <c r="N44" s="77"/>
      <c r="O44" s="77"/>
    </row>
    <row r="45" spans="1:15" ht="15" x14ac:dyDescent="0.25">
      <c r="A45" s="99"/>
      <c r="B45" s="99"/>
      <c r="C45" s="99"/>
      <c r="D45" s="99"/>
      <c r="E45" s="99"/>
      <c r="F45" s="99"/>
      <c r="G45" s="99"/>
      <c r="H45" s="388"/>
      <c r="I45" s="99"/>
      <c r="J45" s="77"/>
      <c r="K45" s="77"/>
      <c r="L45" s="77"/>
      <c r="M45" s="77"/>
      <c r="N45" s="77"/>
      <c r="O45" s="77"/>
    </row>
    <row r="46" spans="1:15" ht="15" x14ac:dyDescent="0.25">
      <c r="A46" s="99"/>
      <c r="B46" s="99"/>
      <c r="C46" s="99"/>
      <c r="D46" s="99"/>
      <c r="E46" s="99"/>
      <c r="F46" s="99"/>
      <c r="G46" s="99"/>
      <c r="H46" s="388"/>
      <c r="I46" s="99"/>
      <c r="J46" s="77"/>
      <c r="K46" s="77"/>
      <c r="L46" s="77"/>
      <c r="M46" s="77"/>
      <c r="N46" s="77"/>
      <c r="O46" s="77"/>
    </row>
    <row r="47" spans="1:15" ht="15.6" thickBot="1" x14ac:dyDescent="0.3">
      <c r="A47" s="904"/>
      <c r="B47" s="904"/>
      <c r="C47" s="904"/>
      <c r="D47" s="904"/>
      <c r="E47" s="904"/>
      <c r="F47" s="904"/>
      <c r="G47" s="904"/>
      <c r="H47" s="904"/>
      <c r="I47" s="904"/>
      <c r="J47" s="904"/>
      <c r="K47" s="904"/>
      <c r="L47" s="904"/>
      <c r="M47" s="904"/>
      <c r="N47" s="904"/>
      <c r="O47" s="904"/>
    </row>
    <row r="48" spans="1:15" ht="15.6" x14ac:dyDescent="0.3">
      <c r="A48" s="905"/>
      <c r="B48" s="905"/>
      <c r="C48" s="905"/>
      <c r="D48" s="905"/>
      <c r="E48" s="905"/>
      <c r="F48" s="905"/>
      <c r="G48" s="99"/>
      <c r="H48" s="388"/>
      <c r="I48" s="99"/>
      <c r="J48" s="77"/>
      <c r="K48" s="77"/>
      <c r="L48" s="77"/>
      <c r="M48" s="77"/>
      <c r="N48" s="77"/>
      <c r="O48" s="77"/>
    </row>
    <row r="49" spans="1:15" ht="15.6" x14ac:dyDescent="0.3">
      <c r="A49" s="202"/>
      <c r="B49" s="203"/>
      <c r="C49" s="203"/>
      <c r="D49" s="202"/>
      <c r="E49" s="202"/>
      <c r="F49" s="202"/>
      <c r="G49" s="99"/>
      <c r="H49" s="384"/>
      <c r="I49" s="99"/>
      <c r="J49" s="77"/>
      <c r="K49" s="77"/>
      <c r="L49" s="77"/>
      <c r="M49" s="77"/>
      <c r="N49" s="77"/>
      <c r="O49" s="77"/>
    </row>
    <row r="50" spans="1:15" ht="15" x14ac:dyDescent="0.25">
      <c r="A50" s="391"/>
      <c r="B50" s="391"/>
      <c r="C50" s="391"/>
      <c r="D50" s="391"/>
      <c r="E50" s="391"/>
      <c r="F50" s="391"/>
      <c r="G50" s="99"/>
      <c r="H50" s="388"/>
      <c r="I50" s="99"/>
      <c r="J50" s="77"/>
      <c r="K50" s="77"/>
      <c r="L50" s="77"/>
      <c r="M50" s="77"/>
      <c r="N50" s="77"/>
      <c r="O50" s="77"/>
    </row>
    <row r="51" spans="1:15" ht="15" x14ac:dyDescent="0.25">
      <c r="A51" s="395"/>
      <c r="B51" s="392"/>
      <c r="C51" s="392"/>
      <c r="D51" s="392"/>
      <c r="E51" s="392"/>
      <c r="F51" s="205"/>
      <c r="G51" s="99"/>
      <c r="H51" s="388"/>
      <c r="I51" s="99"/>
      <c r="J51" s="77"/>
      <c r="K51" s="77"/>
      <c r="L51" s="77"/>
      <c r="M51" s="77"/>
      <c r="N51" s="77"/>
      <c r="O51" s="77"/>
    </row>
    <row r="52" spans="1:15" ht="15" x14ac:dyDescent="0.25">
      <c r="A52" s="395"/>
      <c r="B52" s="392"/>
      <c r="C52" s="392"/>
      <c r="D52" s="392"/>
      <c r="E52" s="392"/>
      <c r="F52" s="205"/>
      <c r="G52" s="99"/>
      <c r="H52" s="388"/>
      <c r="I52" s="99"/>
      <c r="J52" s="77"/>
      <c r="K52" s="77"/>
      <c r="L52" s="77"/>
      <c r="M52" s="77"/>
      <c r="N52" s="77"/>
      <c r="O52" s="77"/>
    </row>
    <row r="53" spans="1:15" ht="15" x14ac:dyDescent="0.25">
      <c r="A53" s="391"/>
      <c r="B53" s="392"/>
      <c r="C53" s="392"/>
      <c r="D53" s="392"/>
      <c r="E53" s="392"/>
      <c r="F53" s="205"/>
      <c r="G53" s="99"/>
      <c r="H53" s="388"/>
      <c r="I53" s="99"/>
      <c r="J53" s="77"/>
      <c r="K53" s="77"/>
      <c r="L53" s="77"/>
      <c r="M53" s="77"/>
      <c r="N53" s="77"/>
      <c r="O53" s="77"/>
    </row>
    <row r="54" spans="1:15" ht="15" x14ac:dyDescent="0.25">
      <c r="A54" s="395"/>
      <c r="B54" s="392"/>
      <c r="C54" s="392"/>
      <c r="D54" s="392"/>
      <c r="E54" s="392"/>
      <c r="F54" s="205"/>
      <c r="G54" s="99"/>
      <c r="H54" s="388"/>
      <c r="I54" s="99"/>
      <c r="J54" s="77"/>
      <c r="K54" s="77"/>
      <c r="L54" s="77"/>
      <c r="M54" s="77"/>
      <c r="N54" s="77"/>
      <c r="O54" s="77"/>
    </row>
    <row r="55" spans="1:15" ht="15" x14ac:dyDescent="0.25">
      <c r="A55" s="391"/>
      <c r="B55" s="392"/>
      <c r="C55" s="392"/>
      <c r="D55" s="392"/>
      <c r="E55" s="392"/>
      <c r="F55" s="205"/>
      <c r="G55" s="99"/>
      <c r="H55" s="388"/>
      <c r="I55" s="99"/>
      <c r="J55" s="77"/>
      <c r="K55" s="77"/>
      <c r="L55" s="77"/>
      <c r="M55" s="77"/>
      <c r="N55" s="77"/>
      <c r="O55" s="77"/>
    </row>
    <row r="56" spans="1:15" ht="15" x14ac:dyDescent="0.25">
      <c r="A56" s="391"/>
      <c r="B56" s="392"/>
      <c r="C56" s="392"/>
      <c r="D56" s="392"/>
      <c r="E56" s="392"/>
      <c r="F56" s="205"/>
      <c r="G56" s="99"/>
      <c r="H56" s="388"/>
      <c r="I56" s="99"/>
      <c r="J56" s="77"/>
      <c r="K56" s="77"/>
      <c r="L56" s="77"/>
      <c r="M56" s="77"/>
      <c r="N56" s="77"/>
      <c r="O56" s="77"/>
    </row>
    <row r="57" spans="1:15" ht="16.8" x14ac:dyDescent="0.4">
      <c r="A57" s="391"/>
      <c r="B57" s="393"/>
      <c r="C57" s="393"/>
      <c r="D57" s="393"/>
      <c r="E57" s="393"/>
      <c r="F57" s="207"/>
      <c r="G57" s="99"/>
      <c r="H57" s="389"/>
      <c r="I57" s="99"/>
      <c r="J57" s="77"/>
      <c r="K57" s="77"/>
      <c r="L57" s="77"/>
      <c r="M57" s="77"/>
      <c r="N57" s="77"/>
      <c r="O57" s="77"/>
    </row>
    <row r="58" spans="1:15" ht="16.8" x14ac:dyDescent="0.4">
      <c r="A58" s="391"/>
      <c r="B58" s="394"/>
      <c r="C58" s="394"/>
      <c r="D58" s="394"/>
      <c r="E58" s="394"/>
      <c r="F58" s="210"/>
      <c r="G58" s="99"/>
      <c r="H58" s="390"/>
      <c r="I58" s="99"/>
      <c r="J58" s="77"/>
      <c r="K58" s="77"/>
      <c r="L58" s="77"/>
      <c r="M58" s="77"/>
      <c r="N58" s="77"/>
      <c r="O58" s="77"/>
    </row>
    <row r="59" spans="1:15" ht="15" x14ac:dyDescent="0.25">
      <c r="A59" s="391"/>
      <c r="B59" s="391"/>
      <c r="C59" s="391"/>
      <c r="D59" s="391"/>
      <c r="E59" s="391"/>
      <c r="F59" s="391"/>
      <c r="G59" s="99"/>
      <c r="H59" s="388"/>
      <c r="I59" s="99"/>
      <c r="J59" s="77"/>
      <c r="K59" s="77"/>
      <c r="L59" s="77"/>
      <c r="M59" s="77"/>
      <c r="N59" s="77"/>
      <c r="O59" s="77"/>
    </row>
    <row r="60" spans="1:15" ht="15" x14ac:dyDescent="0.25">
      <c r="A60" s="99"/>
      <c r="B60" s="99"/>
      <c r="C60" s="99"/>
      <c r="D60" s="99"/>
      <c r="E60" s="99"/>
      <c r="F60" s="99"/>
      <c r="G60" s="99"/>
      <c r="H60" s="388"/>
      <c r="I60" s="99"/>
      <c r="J60" s="77"/>
      <c r="K60" s="77"/>
      <c r="L60" s="77"/>
      <c r="M60" s="77"/>
      <c r="N60" s="77"/>
      <c r="O60" s="77"/>
    </row>
    <row r="61" spans="1:15" ht="15" x14ac:dyDescent="0.25">
      <c r="A61" s="99"/>
      <c r="B61" s="99"/>
      <c r="C61" s="99"/>
      <c r="D61" s="99"/>
      <c r="E61" s="99"/>
      <c r="F61" s="99"/>
      <c r="G61" s="99"/>
      <c r="H61" s="388"/>
      <c r="I61" s="99"/>
      <c r="J61" s="77"/>
      <c r="K61" s="77"/>
      <c r="L61" s="77"/>
      <c r="M61" s="77"/>
      <c r="N61" s="77"/>
      <c r="O61" s="77"/>
    </row>
    <row r="62" spans="1:15" ht="15" x14ac:dyDescent="0.25">
      <c r="A62" s="99"/>
      <c r="B62" s="99"/>
      <c r="C62" s="99"/>
      <c r="D62" s="99"/>
      <c r="E62" s="99"/>
      <c r="F62" s="99"/>
      <c r="G62" s="99"/>
      <c r="H62" s="388"/>
      <c r="I62" s="99"/>
      <c r="J62" s="77"/>
      <c r="K62" s="77"/>
      <c r="L62" s="77"/>
      <c r="M62" s="77"/>
      <c r="N62" s="77"/>
      <c r="O62" s="77"/>
    </row>
    <row r="63" spans="1:15" ht="15" x14ac:dyDescent="0.25">
      <c r="A63" s="99"/>
      <c r="B63" s="99"/>
      <c r="C63" s="99"/>
      <c r="D63" s="99"/>
      <c r="E63" s="99"/>
      <c r="F63" s="99"/>
      <c r="G63" s="99"/>
      <c r="H63" s="388"/>
      <c r="I63" s="99"/>
      <c r="J63" s="77"/>
      <c r="K63" s="77"/>
      <c r="L63" s="77"/>
      <c r="M63" s="77"/>
      <c r="N63" s="77"/>
      <c r="O63" s="77"/>
    </row>
    <row r="64" spans="1:15" ht="15" x14ac:dyDescent="0.25">
      <c r="A64" s="99"/>
      <c r="B64" s="99"/>
      <c r="C64" s="99"/>
      <c r="D64" s="99"/>
      <c r="E64" s="99"/>
      <c r="F64" s="99"/>
      <c r="G64" s="99"/>
      <c r="H64" s="388"/>
      <c r="I64" s="99"/>
      <c r="J64" s="77"/>
      <c r="K64" s="77"/>
      <c r="L64" s="77"/>
      <c r="M64" s="77"/>
      <c r="N64" s="77"/>
      <c r="O64" s="77"/>
    </row>
    <row r="65" spans="1:15" ht="15" x14ac:dyDescent="0.25">
      <c r="A65" s="99"/>
      <c r="B65" s="99"/>
      <c r="C65" s="99"/>
      <c r="D65" s="99"/>
      <c r="E65" s="99"/>
      <c r="F65" s="99"/>
      <c r="G65" s="99"/>
      <c r="H65" s="388"/>
      <c r="I65" s="99"/>
      <c r="J65" s="77"/>
      <c r="K65" s="77"/>
      <c r="L65" s="77"/>
      <c r="M65" s="77"/>
      <c r="N65" s="77"/>
      <c r="O65" s="77"/>
    </row>
    <row r="66" spans="1:15" ht="15" x14ac:dyDescent="0.25">
      <c r="A66" s="99"/>
      <c r="B66" s="99"/>
      <c r="C66" s="99"/>
      <c r="D66" s="99"/>
      <c r="E66" s="99"/>
      <c r="F66" s="99"/>
      <c r="G66" s="99"/>
      <c r="H66" s="388"/>
      <c r="I66" s="99"/>
      <c r="J66" s="77"/>
      <c r="K66" s="77"/>
      <c r="L66" s="77"/>
      <c r="M66" s="77"/>
      <c r="N66" s="77"/>
      <c r="O66" s="77"/>
    </row>
    <row r="67" spans="1:15" ht="15" x14ac:dyDescent="0.25">
      <c r="A67" s="99"/>
      <c r="B67" s="99"/>
      <c r="C67" s="99"/>
      <c r="D67" s="99"/>
      <c r="E67" s="99"/>
      <c r="F67" s="99"/>
      <c r="G67" s="99"/>
      <c r="H67" s="388"/>
      <c r="I67" s="99"/>
      <c r="J67" s="77"/>
      <c r="K67" s="77"/>
      <c r="L67" s="77"/>
      <c r="M67" s="77"/>
      <c r="N67" s="77"/>
      <c r="O67" s="77"/>
    </row>
    <row r="68" spans="1:15" ht="15" x14ac:dyDescent="0.25">
      <c r="A68" s="99"/>
      <c r="B68" s="99"/>
      <c r="C68" s="99"/>
      <c r="D68" s="99"/>
      <c r="E68" s="99"/>
      <c r="F68" s="99"/>
      <c r="G68" s="99"/>
      <c r="H68" s="388"/>
      <c r="I68" s="99"/>
      <c r="J68" s="77"/>
      <c r="K68" s="77"/>
      <c r="L68" s="77"/>
      <c r="M68" s="77"/>
      <c r="N68" s="77"/>
      <c r="O68" s="77"/>
    </row>
    <row r="69" spans="1:15" ht="15" x14ac:dyDescent="0.25">
      <c r="A69" s="99"/>
      <c r="B69" s="99"/>
      <c r="C69" s="99"/>
      <c r="D69" s="99"/>
      <c r="E69" s="99"/>
      <c r="F69" s="99"/>
      <c r="G69" s="99"/>
      <c r="H69" s="388"/>
      <c r="I69" s="99"/>
      <c r="J69" s="77"/>
      <c r="K69" s="77"/>
      <c r="L69" s="77"/>
      <c r="M69" s="77"/>
      <c r="N69" s="77"/>
      <c r="O69" s="77"/>
    </row>
    <row r="70" spans="1:15" ht="15" x14ac:dyDescent="0.25">
      <c r="A70" s="99"/>
      <c r="B70" s="99"/>
      <c r="C70" s="99"/>
      <c r="D70" s="99"/>
      <c r="E70" s="99"/>
      <c r="F70" s="99"/>
      <c r="G70" s="99"/>
      <c r="H70" s="388"/>
      <c r="I70" s="99"/>
      <c r="J70" s="77"/>
      <c r="K70" s="77"/>
      <c r="L70" s="77"/>
      <c r="M70" s="77"/>
      <c r="N70" s="77"/>
      <c r="O70" s="77"/>
    </row>
    <row r="71" spans="1:15" ht="15" x14ac:dyDescent="0.25">
      <c r="A71" s="99"/>
      <c r="B71" s="99"/>
      <c r="C71" s="99"/>
      <c r="D71" s="99"/>
      <c r="E71" s="99"/>
      <c r="F71" s="99"/>
      <c r="G71" s="99"/>
      <c r="H71" s="388"/>
      <c r="I71" s="99"/>
      <c r="J71" s="77"/>
      <c r="K71" s="77"/>
      <c r="L71" s="77"/>
      <c r="M71" s="77"/>
      <c r="N71" s="77"/>
      <c r="O71" s="77"/>
    </row>
    <row r="72" spans="1:15" ht="15" x14ac:dyDescent="0.25">
      <c r="A72" s="99"/>
      <c r="B72" s="99"/>
      <c r="C72" s="99"/>
      <c r="D72" s="99"/>
      <c r="E72" s="99"/>
      <c r="F72" s="99"/>
      <c r="G72" s="99"/>
      <c r="H72" s="388"/>
      <c r="I72" s="99"/>
      <c r="J72" s="77"/>
      <c r="K72" s="77"/>
      <c r="L72" s="77"/>
      <c r="M72" s="77"/>
      <c r="N72" s="77"/>
      <c r="O72" s="77"/>
    </row>
    <row r="73" spans="1:15" ht="15" x14ac:dyDescent="0.25">
      <c r="A73" s="99"/>
      <c r="B73" s="99"/>
      <c r="C73" s="99"/>
      <c r="D73" s="99"/>
      <c r="E73" s="99"/>
      <c r="F73" s="99"/>
      <c r="G73" s="99"/>
      <c r="H73" s="388"/>
      <c r="I73" s="99"/>
      <c r="J73" s="77"/>
      <c r="K73" s="77"/>
      <c r="L73" s="77"/>
      <c r="M73" s="77"/>
      <c r="N73" s="77"/>
      <c r="O73" s="77"/>
    </row>
    <row r="74" spans="1:15" ht="15" x14ac:dyDescent="0.25">
      <c r="A74" s="99"/>
      <c r="B74" s="99"/>
      <c r="C74" s="99"/>
      <c r="D74" s="99"/>
      <c r="E74" s="99"/>
      <c r="F74" s="99"/>
      <c r="G74" s="99"/>
      <c r="H74" s="388"/>
      <c r="I74" s="99"/>
      <c r="J74" s="77"/>
      <c r="K74" s="77"/>
      <c r="L74" s="77"/>
      <c r="M74" s="77"/>
      <c r="N74" s="77"/>
      <c r="O74" s="77"/>
    </row>
    <row r="75" spans="1:15" ht="15" x14ac:dyDescent="0.25">
      <c r="A75" s="99"/>
      <c r="B75" s="99"/>
      <c r="C75" s="99"/>
      <c r="D75" s="99"/>
      <c r="E75" s="99"/>
      <c r="F75" s="99"/>
      <c r="G75" s="99"/>
      <c r="H75" s="388"/>
      <c r="I75" s="99"/>
      <c r="J75" s="77"/>
      <c r="K75" s="77"/>
      <c r="L75" s="77"/>
      <c r="M75" s="77"/>
      <c r="N75" s="77"/>
      <c r="O75" s="77"/>
    </row>
    <row r="76" spans="1:15" ht="15" x14ac:dyDescent="0.25">
      <c r="A76" s="99"/>
      <c r="B76" s="99"/>
      <c r="C76" s="99"/>
      <c r="D76" s="99"/>
      <c r="E76" s="99"/>
      <c r="F76" s="99"/>
      <c r="G76" s="99"/>
      <c r="H76" s="388"/>
      <c r="I76" s="99"/>
      <c r="J76" s="77"/>
      <c r="K76" s="77"/>
      <c r="L76" s="77"/>
      <c r="M76" s="77"/>
      <c r="N76" s="77"/>
      <c r="O76" s="77"/>
    </row>
    <row r="77" spans="1:15" ht="15" x14ac:dyDescent="0.25">
      <c r="A77" s="99"/>
      <c r="B77" s="99"/>
      <c r="C77" s="99"/>
      <c r="D77" s="99"/>
      <c r="E77" s="99"/>
      <c r="F77" s="99"/>
      <c r="G77" s="99"/>
      <c r="H77" s="388"/>
      <c r="I77" s="99"/>
      <c r="J77" s="77"/>
      <c r="K77" s="77"/>
      <c r="L77" s="77"/>
      <c r="M77" s="77"/>
      <c r="N77" s="77"/>
      <c r="O77" s="77"/>
    </row>
    <row r="78" spans="1:15" ht="15" x14ac:dyDescent="0.25">
      <c r="A78" s="99"/>
      <c r="B78" s="99"/>
      <c r="C78" s="99"/>
      <c r="D78" s="99"/>
      <c r="E78" s="99"/>
      <c r="F78" s="99"/>
      <c r="G78" s="99"/>
      <c r="H78" s="388"/>
      <c r="I78" s="99"/>
      <c r="J78" s="77"/>
      <c r="K78" s="77"/>
      <c r="L78" s="77"/>
      <c r="M78" s="77"/>
      <c r="N78" s="77"/>
      <c r="O78" s="77"/>
    </row>
    <row r="79" spans="1:15" ht="15" x14ac:dyDescent="0.25">
      <c r="A79" s="99"/>
      <c r="B79" s="99"/>
      <c r="C79" s="99"/>
      <c r="D79" s="99"/>
      <c r="E79" s="99"/>
      <c r="F79" s="99"/>
      <c r="G79" s="99"/>
      <c r="H79" s="388"/>
      <c r="I79" s="99"/>
      <c r="J79" s="77"/>
      <c r="K79" s="77"/>
      <c r="L79" s="77"/>
      <c r="M79" s="77"/>
      <c r="N79" s="77"/>
      <c r="O79" s="77"/>
    </row>
    <row r="80" spans="1:15" ht="15" x14ac:dyDescent="0.25">
      <c r="A80" s="99"/>
      <c r="B80" s="99"/>
      <c r="C80" s="99"/>
      <c r="D80" s="99"/>
      <c r="E80" s="99"/>
      <c r="F80" s="99"/>
      <c r="G80" s="99"/>
      <c r="H80" s="388"/>
      <c r="I80" s="99"/>
      <c r="J80" s="77"/>
      <c r="K80" s="77"/>
      <c r="L80" s="77"/>
      <c r="M80" s="77"/>
      <c r="N80" s="77"/>
      <c r="O80" s="77"/>
    </row>
    <row r="81" spans="1:15" ht="15" x14ac:dyDescent="0.25">
      <c r="A81" s="99"/>
      <c r="B81" s="99"/>
      <c r="C81" s="99"/>
      <c r="D81" s="99"/>
      <c r="E81" s="99"/>
      <c r="F81" s="99"/>
      <c r="G81" s="99"/>
      <c r="H81" s="388"/>
      <c r="I81" s="99"/>
      <c r="J81" s="77"/>
      <c r="K81" s="77"/>
      <c r="L81" s="77"/>
      <c r="M81" s="77"/>
      <c r="N81" s="77"/>
      <c r="O81" s="77"/>
    </row>
    <row r="82" spans="1:15" ht="15" x14ac:dyDescent="0.25">
      <c r="A82" s="99"/>
      <c r="B82" s="99"/>
      <c r="C82" s="99"/>
      <c r="D82" s="99"/>
      <c r="E82" s="99"/>
      <c r="F82" s="99"/>
      <c r="G82" s="99"/>
      <c r="H82" s="388"/>
      <c r="I82" s="99"/>
      <c r="J82" s="77"/>
      <c r="K82" s="77"/>
      <c r="L82" s="77"/>
      <c r="M82" s="77"/>
      <c r="N82" s="77"/>
      <c r="O82" s="77"/>
    </row>
    <row r="83" spans="1:15" ht="15" x14ac:dyDescent="0.25">
      <c r="A83" s="99"/>
      <c r="B83" s="99"/>
      <c r="C83" s="99"/>
      <c r="D83" s="99"/>
      <c r="E83" s="99"/>
      <c r="F83" s="99"/>
      <c r="G83" s="99"/>
      <c r="H83" s="388"/>
      <c r="I83" s="99"/>
      <c r="J83" s="77"/>
      <c r="K83" s="77"/>
      <c r="L83" s="77"/>
      <c r="M83" s="77"/>
      <c r="N83" s="77"/>
      <c r="O83" s="77"/>
    </row>
    <row r="84" spans="1:15" ht="15" x14ac:dyDescent="0.25">
      <c r="A84" s="99"/>
      <c r="B84" s="99"/>
      <c r="C84" s="99"/>
      <c r="D84" s="99"/>
      <c r="E84" s="99"/>
      <c r="F84" s="99"/>
      <c r="G84" s="99"/>
      <c r="H84" s="388"/>
      <c r="I84" s="99"/>
      <c r="J84" s="77"/>
      <c r="K84" s="77"/>
      <c r="L84" s="77"/>
      <c r="M84" s="77"/>
      <c r="N84" s="77"/>
      <c r="O84" s="77"/>
    </row>
    <row r="85" spans="1:15" ht="15" x14ac:dyDescent="0.25">
      <c r="A85" s="99"/>
      <c r="B85" s="99"/>
      <c r="C85" s="99"/>
      <c r="D85" s="99"/>
      <c r="E85" s="99"/>
      <c r="F85" s="99"/>
      <c r="G85" s="99"/>
      <c r="H85" s="388"/>
      <c r="I85" s="99"/>
      <c r="J85" s="77"/>
      <c r="K85" s="77"/>
      <c r="L85" s="77"/>
      <c r="M85" s="77"/>
      <c r="N85" s="77"/>
      <c r="O85" s="77"/>
    </row>
    <row r="86" spans="1:15" ht="15" x14ac:dyDescent="0.25">
      <c r="A86" s="99"/>
      <c r="B86" s="99"/>
      <c r="C86" s="99"/>
      <c r="D86" s="99"/>
      <c r="E86" s="99"/>
      <c r="F86" s="99"/>
      <c r="G86" s="99"/>
      <c r="H86" s="388"/>
      <c r="I86" s="99"/>
      <c r="J86" s="77"/>
      <c r="K86" s="77"/>
      <c r="L86" s="77"/>
      <c r="M86" s="77"/>
      <c r="N86" s="77"/>
      <c r="O86" s="77"/>
    </row>
    <row r="87" spans="1:15" ht="15" x14ac:dyDescent="0.25">
      <c r="A87" s="99"/>
      <c r="B87" s="99"/>
      <c r="C87" s="99"/>
      <c r="D87" s="99"/>
      <c r="E87" s="99"/>
      <c r="F87" s="99"/>
      <c r="G87" s="99"/>
      <c r="H87" s="388"/>
      <c r="I87" s="99"/>
      <c r="J87" s="77"/>
      <c r="K87" s="77"/>
      <c r="L87" s="77"/>
      <c r="M87" s="77"/>
      <c r="N87" s="77"/>
      <c r="O87" s="77"/>
    </row>
    <row r="88" spans="1:15" ht="15" x14ac:dyDescent="0.25">
      <c r="A88" s="99"/>
      <c r="B88" s="99"/>
      <c r="C88" s="99"/>
      <c r="D88" s="99"/>
      <c r="E88" s="99"/>
      <c r="F88" s="99"/>
      <c r="G88" s="99"/>
      <c r="H88" s="388"/>
      <c r="I88" s="99"/>
      <c r="J88" s="77"/>
      <c r="K88" s="77"/>
      <c r="L88" s="77"/>
      <c r="M88" s="77"/>
      <c r="N88" s="77"/>
      <c r="O88" s="77"/>
    </row>
    <row r="89" spans="1:15" ht="15" x14ac:dyDescent="0.25">
      <c r="A89" s="99"/>
      <c r="B89" s="99"/>
      <c r="C89" s="99"/>
      <c r="D89" s="99"/>
      <c r="E89" s="99"/>
      <c r="F89" s="99"/>
      <c r="G89" s="99"/>
      <c r="H89" s="388"/>
      <c r="I89" s="99"/>
      <c r="J89" s="77"/>
      <c r="K89" s="77"/>
      <c r="L89" s="77"/>
      <c r="M89" s="77"/>
      <c r="N89" s="77"/>
      <c r="O89" s="77"/>
    </row>
    <row r="90" spans="1:15" ht="15" x14ac:dyDescent="0.25">
      <c r="A90" s="99"/>
      <c r="B90" s="99"/>
      <c r="C90" s="99"/>
      <c r="D90" s="99"/>
      <c r="E90" s="99"/>
      <c r="F90" s="99"/>
      <c r="G90" s="99"/>
      <c r="H90" s="388"/>
      <c r="I90" s="99"/>
      <c r="J90" s="77"/>
      <c r="K90" s="77"/>
      <c r="L90" s="77"/>
      <c r="M90" s="77"/>
      <c r="N90" s="77"/>
      <c r="O90" s="77"/>
    </row>
    <row r="91" spans="1:15" ht="15" x14ac:dyDescent="0.25">
      <c r="A91" s="99"/>
      <c r="B91" s="99"/>
      <c r="C91" s="99"/>
      <c r="D91" s="99"/>
      <c r="E91" s="99"/>
      <c r="F91" s="99"/>
      <c r="G91" s="99"/>
      <c r="H91" s="388"/>
      <c r="I91" s="99"/>
      <c r="J91" s="77"/>
      <c r="K91" s="77"/>
      <c r="L91" s="77"/>
      <c r="M91" s="77"/>
      <c r="N91" s="77"/>
      <c r="O91" s="77"/>
    </row>
    <row r="92" spans="1:15" ht="15" x14ac:dyDescent="0.25">
      <c r="A92" s="99"/>
      <c r="B92" s="99"/>
      <c r="C92" s="99"/>
      <c r="D92" s="99"/>
      <c r="E92" s="99"/>
      <c r="F92" s="99"/>
      <c r="G92" s="99"/>
      <c r="H92" s="388"/>
      <c r="I92" s="99"/>
      <c r="J92" s="77"/>
      <c r="K92" s="77"/>
      <c r="L92" s="77"/>
      <c r="M92" s="77"/>
      <c r="N92" s="77"/>
      <c r="O92" s="77"/>
    </row>
    <row r="93" spans="1:15" ht="15" x14ac:dyDescent="0.25">
      <c r="A93" s="99"/>
      <c r="B93" s="99"/>
      <c r="C93" s="99"/>
      <c r="D93" s="99"/>
      <c r="E93" s="99"/>
      <c r="F93" s="99"/>
      <c r="G93" s="99"/>
      <c r="H93" s="388"/>
      <c r="I93" s="99"/>
      <c r="J93" s="77"/>
      <c r="K93" s="77"/>
      <c r="L93" s="77"/>
      <c r="M93" s="77"/>
      <c r="N93" s="77"/>
      <c r="O93" s="77"/>
    </row>
    <row r="94" spans="1:15" ht="15" x14ac:dyDescent="0.25">
      <c r="A94" s="99"/>
      <c r="B94" s="99"/>
      <c r="C94" s="99"/>
      <c r="D94" s="99"/>
      <c r="E94" s="99"/>
      <c r="F94" s="99"/>
      <c r="G94" s="99"/>
      <c r="H94" s="388"/>
      <c r="I94" s="99"/>
      <c r="J94" s="77"/>
      <c r="K94" s="77"/>
      <c r="L94" s="77"/>
      <c r="M94" s="77"/>
      <c r="N94" s="77"/>
      <c r="O94" s="77"/>
    </row>
    <row r="95" spans="1:15" ht="15" x14ac:dyDescent="0.25">
      <c r="A95" s="99"/>
      <c r="B95" s="99"/>
      <c r="C95" s="99"/>
      <c r="D95" s="99"/>
      <c r="E95" s="99"/>
      <c r="F95" s="99"/>
      <c r="G95" s="99"/>
      <c r="H95" s="388"/>
      <c r="I95" s="99"/>
      <c r="J95" s="77"/>
      <c r="K95" s="77"/>
      <c r="L95" s="77"/>
      <c r="M95" s="77"/>
      <c r="N95" s="77"/>
      <c r="O95" s="77"/>
    </row>
    <row r="96" spans="1:15" ht="15" x14ac:dyDescent="0.25">
      <c r="A96" s="99"/>
      <c r="B96" s="99"/>
      <c r="C96" s="99"/>
      <c r="D96" s="99"/>
      <c r="E96" s="99"/>
      <c r="F96" s="99"/>
      <c r="G96" s="99"/>
      <c r="H96" s="388"/>
      <c r="I96" s="99"/>
      <c r="J96" s="77"/>
      <c r="K96" s="77"/>
      <c r="L96" s="77"/>
      <c r="M96" s="77"/>
      <c r="N96" s="77"/>
      <c r="O96" s="77"/>
    </row>
    <row r="97" spans="1:15" ht="15" x14ac:dyDescent="0.25">
      <c r="A97" s="99"/>
      <c r="B97" s="99"/>
      <c r="C97" s="99"/>
      <c r="D97" s="99"/>
      <c r="E97" s="99"/>
      <c r="F97" s="99"/>
      <c r="G97" s="99"/>
      <c r="H97" s="388"/>
      <c r="I97" s="99"/>
      <c r="J97" s="77"/>
      <c r="K97" s="77"/>
      <c r="L97" s="77"/>
      <c r="M97" s="77"/>
      <c r="N97" s="77"/>
      <c r="O97" s="77"/>
    </row>
    <row r="98" spans="1:15" ht="15" x14ac:dyDescent="0.25">
      <c r="A98" s="99"/>
      <c r="B98" s="99"/>
      <c r="C98" s="99"/>
      <c r="D98" s="99"/>
      <c r="E98" s="99"/>
      <c r="F98" s="99"/>
      <c r="G98" s="99"/>
      <c r="H98" s="388"/>
      <c r="I98" s="99"/>
      <c r="J98" s="77"/>
      <c r="K98" s="77"/>
      <c r="L98" s="77"/>
      <c r="M98" s="77"/>
      <c r="N98" s="77"/>
      <c r="O98" s="77"/>
    </row>
    <row r="99" spans="1:15" ht="15" x14ac:dyDescent="0.25">
      <c r="A99" s="99"/>
      <c r="B99" s="99"/>
      <c r="C99" s="99"/>
      <c r="D99" s="99"/>
      <c r="E99" s="99"/>
      <c r="F99" s="99"/>
      <c r="G99" s="99"/>
      <c r="H99" s="388"/>
      <c r="I99" s="99"/>
      <c r="J99" s="77"/>
      <c r="K99" s="77"/>
      <c r="L99" s="77"/>
      <c r="M99" s="77"/>
      <c r="N99" s="77"/>
      <c r="O99" s="77"/>
    </row>
    <row r="100" spans="1:15" ht="15.6" thickBot="1" x14ac:dyDescent="0.3">
      <c r="A100" s="99"/>
      <c r="B100" s="99"/>
      <c r="C100" s="99"/>
      <c r="D100" s="99"/>
      <c r="E100" s="99"/>
      <c r="F100" s="99"/>
      <c r="G100" s="99"/>
      <c r="H100" s="388"/>
      <c r="I100" s="99"/>
      <c r="J100" s="77"/>
      <c r="K100" s="77"/>
      <c r="L100" s="77"/>
      <c r="M100" s="77"/>
      <c r="N100" s="77"/>
      <c r="O100" s="77"/>
    </row>
    <row r="101" spans="1:15" ht="15" x14ac:dyDescent="0.25">
      <c r="A101" s="894" t="s">
        <v>195</v>
      </c>
      <c r="B101" s="895"/>
      <c r="C101" s="895"/>
      <c r="D101" s="895"/>
      <c r="E101" s="895"/>
      <c r="F101" s="896"/>
      <c r="G101" s="99"/>
      <c r="H101" s="388"/>
      <c r="I101" s="99"/>
      <c r="J101" s="77"/>
      <c r="K101" s="77"/>
      <c r="L101" s="77"/>
      <c r="M101" s="77"/>
      <c r="N101" s="77"/>
      <c r="O101" s="77"/>
    </row>
    <row r="102" spans="1:15" ht="15.6" thickBot="1" x14ac:dyDescent="0.3">
      <c r="A102" s="897"/>
      <c r="B102" s="898"/>
      <c r="C102" s="898"/>
      <c r="D102" s="898"/>
      <c r="E102" s="898"/>
      <c r="F102" s="899"/>
      <c r="G102" s="99"/>
      <c r="H102" s="388"/>
      <c r="I102" s="99"/>
      <c r="J102" s="77"/>
      <c r="K102" s="77"/>
      <c r="L102" s="77"/>
      <c r="M102" s="77"/>
      <c r="N102" s="77"/>
      <c r="O102" s="77"/>
    </row>
    <row r="103" spans="1:15" ht="15" x14ac:dyDescent="0.25">
      <c r="A103" s="162" t="s">
        <v>5</v>
      </c>
      <c r="B103" s="161" t="s">
        <v>6</v>
      </c>
      <c r="C103" s="161" t="s">
        <v>13</v>
      </c>
      <c r="D103" s="161" t="s">
        <v>82</v>
      </c>
      <c r="E103" s="161" t="s">
        <v>115</v>
      </c>
      <c r="F103" s="163" t="s">
        <v>116</v>
      </c>
      <c r="G103" s="99"/>
      <c r="H103" s="388"/>
      <c r="I103" s="99"/>
      <c r="J103" s="77"/>
      <c r="K103" s="77"/>
      <c r="L103" s="77"/>
      <c r="M103" s="77"/>
      <c r="N103" s="77"/>
      <c r="O103" s="77"/>
    </row>
    <row r="104" spans="1:15" ht="15" x14ac:dyDescent="0.25">
      <c r="A104" s="396" t="s">
        <v>239</v>
      </c>
      <c r="B104" s="106"/>
      <c r="C104" s="106"/>
      <c r="D104" s="106"/>
      <c r="E104" s="106"/>
      <c r="F104" s="107"/>
      <c r="G104" s="99"/>
      <c r="H104" s="388"/>
      <c r="I104" s="99"/>
      <c r="J104" s="77"/>
      <c r="K104" s="77"/>
      <c r="L104" s="77"/>
      <c r="M104" s="77"/>
      <c r="N104" s="77"/>
      <c r="O104" s="77"/>
    </row>
    <row r="105" spans="1:15" ht="30" x14ac:dyDescent="0.25">
      <c r="A105" s="396" t="s">
        <v>91</v>
      </c>
      <c r="B105" s="106" t="s">
        <v>190</v>
      </c>
      <c r="C105" s="106" t="s">
        <v>18</v>
      </c>
      <c r="D105" s="106" t="s">
        <v>8</v>
      </c>
      <c r="E105" s="106" t="s">
        <v>36</v>
      </c>
      <c r="F105" s="107" t="s">
        <v>29</v>
      </c>
      <c r="G105" s="99"/>
      <c r="H105" s="388"/>
      <c r="I105" s="99"/>
      <c r="J105" s="77"/>
      <c r="K105" s="77"/>
      <c r="L105" s="77"/>
      <c r="M105" s="77"/>
      <c r="N105" s="77"/>
      <c r="O105" s="77"/>
    </row>
    <row r="106" spans="1:15" ht="30" x14ac:dyDescent="0.25">
      <c r="A106" s="397" t="s">
        <v>27</v>
      </c>
      <c r="B106" s="106" t="s">
        <v>192</v>
      </c>
      <c r="C106" s="106" t="s">
        <v>15</v>
      </c>
      <c r="D106" s="106" t="s">
        <v>84</v>
      </c>
      <c r="E106" s="106" t="s">
        <v>35</v>
      </c>
      <c r="F106" s="107" t="s">
        <v>28</v>
      </c>
      <c r="G106" s="99"/>
      <c r="H106" s="388"/>
      <c r="I106" s="99"/>
      <c r="J106" s="77"/>
      <c r="K106" s="77"/>
      <c r="L106" s="77"/>
      <c r="M106" s="77"/>
      <c r="N106" s="77"/>
      <c r="O106" s="77"/>
    </row>
    <row r="107" spans="1:15" ht="30" x14ac:dyDescent="0.25">
      <c r="A107" s="397" t="s">
        <v>125</v>
      </c>
      <c r="B107" s="106" t="s">
        <v>191</v>
      </c>
      <c r="C107" s="106" t="s">
        <v>16</v>
      </c>
      <c r="D107" s="106"/>
      <c r="E107" s="106" t="s">
        <v>46</v>
      </c>
      <c r="F107" s="107" t="s">
        <v>34</v>
      </c>
      <c r="G107" s="99"/>
      <c r="H107" s="388"/>
      <c r="I107" s="99"/>
      <c r="J107" s="77"/>
      <c r="K107" s="77"/>
      <c r="L107" s="77"/>
      <c r="M107" s="77"/>
      <c r="N107" s="77"/>
      <c r="O107" s="77"/>
    </row>
    <row r="108" spans="1:15" ht="15" x14ac:dyDescent="0.25">
      <c r="A108" s="396" t="s">
        <v>128</v>
      </c>
      <c r="B108" s="106" t="s">
        <v>193</v>
      </c>
      <c r="C108" s="106" t="s">
        <v>20</v>
      </c>
      <c r="D108" s="106"/>
      <c r="E108" s="106" t="s">
        <v>44</v>
      </c>
      <c r="F108" s="107" t="s">
        <v>142</v>
      </c>
      <c r="G108" s="99"/>
      <c r="H108" s="388"/>
      <c r="I108" s="99"/>
      <c r="J108" s="77"/>
      <c r="K108" s="77"/>
      <c r="L108" s="77"/>
      <c r="M108" s="77"/>
      <c r="N108" s="77"/>
      <c r="O108" s="77"/>
    </row>
    <row r="109" spans="1:15" ht="15" x14ac:dyDescent="0.25">
      <c r="A109" s="397" t="s">
        <v>326</v>
      </c>
      <c r="B109" s="106"/>
      <c r="C109" s="106" t="s">
        <v>19</v>
      </c>
      <c r="D109" s="106"/>
      <c r="E109" s="106" t="s">
        <v>37</v>
      </c>
      <c r="F109" s="107" t="s">
        <v>30</v>
      </c>
      <c r="G109" s="99"/>
      <c r="H109" s="388"/>
      <c r="I109" s="99"/>
      <c r="J109" s="77"/>
      <c r="K109" s="77"/>
      <c r="L109" s="77"/>
      <c r="M109" s="77"/>
      <c r="N109" s="77"/>
      <c r="O109" s="77"/>
    </row>
    <row r="110" spans="1:15" ht="30" x14ac:dyDescent="0.25">
      <c r="A110" s="396" t="s">
        <v>308</v>
      </c>
      <c r="B110" s="106"/>
      <c r="C110" s="106" t="s">
        <v>21</v>
      </c>
      <c r="D110" s="106"/>
      <c r="E110" s="106" t="s">
        <v>117</v>
      </c>
      <c r="F110" s="107" t="s">
        <v>121</v>
      </c>
      <c r="G110" s="99"/>
      <c r="H110" s="388"/>
      <c r="I110" s="99"/>
      <c r="J110" s="77"/>
      <c r="K110" s="77"/>
      <c r="L110" s="77"/>
      <c r="M110" s="77"/>
      <c r="N110" s="77"/>
      <c r="O110" s="77"/>
    </row>
    <row r="111" spans="1:15" ht="30" x14ac:dyDescent="0.25">
      <c r="A111" s="396" t="s">
        <v>309</v>
      </c>
      <c r="B111" s="106"/>
      <c r="C111" s="106" t="s">
        <v>14</v>
      </c>
      <c r="D111" s="106"/>
      <c r="E111" s="106" t="s">
        <v>42</v>
      </c>
      <c r="F111" s="107" t="s">
        <v>40</v>
      </c>
      <c r="G111" s="99"/>
      <c r="H111" s="388"/>
      <c r="I111" s="99"/>
      <c r="J111" s="77"/>
      <c r="K111" s="77"/>
      <c r="L111" s="77"/>
      <c r="M111" s="77"/>
      <c r="N111" s="77"/>
      <c r="O111" s="77"/>
    </row>
    <row r="112" spans="1:15" ht="30" x14ac:dyDescent="0.25">
      <c r="A112" s="396" t="s">
        <v>307</v>
      </c>
      <c r="B112" s="106"/>
      <c r="C112" s="106" t="s">
        <v>17</v>
      </c>
      <c r="D112" s="106"/>
      <c r="E112" s="106" t="s">
        <v>38</v>
      </c>
      <c r="F112" s="107" t="s">
        <v>31</v>
      </c>
      <c r="G112" s="99"/>
      <c r="H112" s="388"/>
      <c r="I112" s="99"/>
      <c r="J112" s="77"/>
      <c r="K112" s="77"/>
      <c r="L112" s="77"/>
      <c r="M112" s="77"/>
      <c r="N112" s="77"/>
      <c r="O112" s="77"/>
    </row>
    <row r="113" spans="1:15" ht="15" x14ac:dyDescent="0.25">
      <c r="A113" s="397" t="s">
        <v>4</v>
      </c>
      <c r="B113" s="106"/>
      <c r="C113" s="106"/>
      <c r="D113" s="106"/>
      <c r="E113" s="106" t="s">
        <v>41</v>
      </c>
      <c r="F113" s="107" t="s">
        <v>39</v>
      </c>
      <c r="G113" s="99"/>
      <c r="H113" s="388"/>
      <c r="I113" s="99"/>
      <c r="J113" s="77"/>
      <c r="K113" s="77"/>
      <c r="L113" s="77"/>
      <c r="M113" s="77"/>
      <c r="N113" s="77"/>
      <c r="O113" s="77"/>
    </row>
    <row r="114" spans="1:15" ht="15" x14ac:dyDescent="0.25">
      <c r="A114" s="397" t="s">
        <v>126</v>
      </c>
      <c r="B114" s="106"/>
      <c r="C114" s="106"/>
      <c r="D114" s="106"/>
      <c r="E114" s="106" t="s">
        <v>43</v>
      </c>
      <c r="F114" s="107" t="s">
        <v>120</v>
      </c>
      <c r="G114" s="99"/>
      <c r="H114" s="388"/>
      <c r="I114" s="99"/>
      <c r="J114" s="77"/>
      <c r="K114" s="77"/>
      <c r="L114" s="77"/>
      <c r="M114" s="77"/>
      <c r="N114" s="77"/>
      <c r="O114" s="77"/>
    </row>
    <row r="115" spans="1:15" x14ac:dyDescent="0.25">
      <c r="A115" s="2" t="s">
        <v>238</v>
      </c>
      <c r="B115" s="2"/>
      <c r="C115" s="2"/>
      <c r="D115" s="2"/>
      <c r="E115" s="2" t="s">
        <v>118</v>
      </c>
      <c r="F115" s="2" t="s">
        <v>122</v>
      </c>
      <c r="G115" s="2"/>
      <c r="H115" s="3"/>
      <c r="I115" s="2"/>
    </row>
    <row r="116" spans="1:15" x14ac:dyDescent="0.25">
      <c r="A116" s="2" t="s">
        <v>183</v>
      </c>
      <c r="B116" s="2"/>
      <c r="C116" s="2"/>
      <c r="D116" s="2"/>
      <c r="E116" s="2" t="s">
        <v>45</v>
      </c>
      <c r="F116" s="2" t="s">
        <v>32</v>
      </c>
      <c r="G116" s="2"/>
      <c r="H116" s="3"/>
      <c r="I116" s="2"/>
    </row>
    <row r="117" spans="1:15" ht="15" x14ac:dyDescent="0.25">
      <c r="A117" s="2"/>
      <c r="B117" s="2"/>
      <c r="C117" s="2"/>
      <c r="D117" s="2"/>
      <c r="E117" s="106" t="s">
        <v>142</v>
      </c>
      <c r="F117" s="2"/>
      <c r="G117" s="2"/>
      <c r="H117" s="3"/>
      <c r="I117" s="2"/>
    </row>
    <row r="118" spans="1:15" x14ac:dyDescent="0.25">
      <c r="A118" s="2"/>
      <c r="B118" s="2"/>
      <c r="C118" s="2"/>
      <c r="D118" s="2"/>
      <c r="E118" s="2"/>
      <c r="F118" s="2"/>
      <c r="G118" s="2"/>
      <c r="H118" s="3"/>
      <c r="I118" s="2"/>
    </row>
    <row r="119" spans="1:15" x14ac:dyDescent="0.25">
      <c r="A119" s="2"/>
      <c r="B119" s="2"/>
      <c r="C119" s="2"/>
      <c r="D119" s="2"/>
      <c r="E119" s="2"/>
      <c r="F119" s="2"/>
      <c r="G119" s="2"/>
      <c r="H119" s="3"/>
      <c r="I119" s="2"/>
    </row>
    <row r="120" spans="1:15" x14ac:dyDescent="0.25">
      <c r="A120" s="2"/>
      <c r="B120" s="2"/>
      <c r="C120" s="2"/>
      <c r="D120" s="2"/>
      <c r="E120" s="2"/>
      <c r="F120" s="2"/>
      <c r="G120" s="2"/>
      <c r="H120" s="3"/>
      <c r="I120" s="2"/>
    </row>
    <row r="121" spans="1:15" x14ac:dyDescent="0.25">
      <c r="A121" s="2"/>
      <c r="B121" s="2"/>
      <c r="C121" s="2"/>
      <c r="D121" s="2"/>
      <c r="E121" s="2"/>
      <c r="F121" s="2"/>
      <c r="G121" s="2"/>
      <c r="H121" s="3"/>
      <c r="I121" s="2"/>
    </row>
    <row r="122" spans="1:15" x14ac:dyDescent="0.25">
      <c r="A122" s="2"/>
      <c r="B122" s="2"/>
      <c r="C122" s="2"/>
      <c r="D122" s="2"/>
      <c r="E122" s="2"/>
      <c r="F122" s="2"/>
      <c r="G122" s="2"/>
      <c r="H122" s="3"/>
      <c r="I122" s="2"/>
    </row>
    <row r="123" spans="1:15" x14ac:dyDescent="0.25">
      <c r="A123" s="2"/>
      <c r="B123" s="2"/>
      <c r="C123" s="2"/>
      <c r="D123" s="2"/>
      <c r="E123" s="2"/>
      <c r="F123" s="2"/>
      <c r="G123" s="2"/>
      <c r="H123" s="3"/>
      <c r="I123" s="2"/>
    </row>
    <row r="124" spans="1:15" x14ac:dyDescent="0.25">
      <c r="A124" s="2"/>
      <c r="B124" s="2"/>
      <c r="C124" s="2"/>
      <c r="D124" s="2"/>
      <c r="E124" s="2"/>
      <c r="F124" s="2"/>
      <c r="G124" s="2"/>
      <c r="H124" s="3"/>
      <c r="I124" s="2"/>
    </row>
    <row r="125" spans="1:15" x14ac:dyDescent="0.25">
      <c r="A125" s="2"/>
      <c r="B125" s="2"/>
      <c r="C125" s="2"/>
      <c r="D125" s="2"/>
      <c r="E125" s="2"/>
      <c r="F125" s="2"/>
      <c r="G125" s="2"/>
      <c r="H125" s="3"/>
      <c r="I125" s="2"/>
    </row>
    <row r="126" spans="1:15" x14ac:dyDescent="0.25">
      <c r="A126" s="2"/>
      <c r="B126" s="2"/>
      <c r="C126" s="2"/>
      <c r="D126" s="2"/>
      <c r="E126" s="2"/>
      <c r="F126" s="2"/>
      <c r="G126" s="2"/>
      <c r="H126" s="3"/>
      <c r="I126" s="2"/>
    </row>
    <row r="127" spans="1:15" x14ac:dyDescent="0.25">
      <c r="A127" s="2"/>
      <c r="B127" s="2"/>
      <c r="C127" s="2"/>
      <c r="D127" s="2"/>
      <c r="E127" s="2"/>
      <c r="F127" s="2"/>
      <c r="G127" s="2"/>
      <c r="H127" s="3"/>
      <c r="I127" s="2"/>
    </row>
    <row r="128" spans="1:15" x14ac:dyDescent="0.25">
      <c r="A128" s="2"/>
      <c r="B128" s="2"/>
      <c r="C128" s="2"/>
      <c r="D128" s="2"/>
      <c r="E128" s="2"/>
      <c r="F128" s="2"/>
      <c r="G128" s="2"/>
      <c r="H128" s="3"/>
      <c r="I128" s="2"/>
    </row>
    <row r="129" spans="1:9" x14ac:dyDescent="0.25">
      <c r="A129" s="2"/>
      <c r="B129" s="2"/>
      <c r="C129" s="2"/>
      <c r="D129" s="2"/>
      <c r="E129" s="2"/>
      <c r="F129" s="2"/>
      <c r="G129" s="2"/>
      <c r="H129" s="3"/>
      <c r="I129" s="2"/>
    </row>
  </sheetData>
  <mergeCells count="7">
    <mergeCell ref="A101:F102"/>
    <mergeCell ref="A1:O1"/>
    <mergeCell ref="A3:O3"/>
    <mergeCell ref="A11:O11"/>
    <mergeCell ref="A35:O35"/>
    <mergeCell ref="A47:O47"/>
    <mergeCell ref="A48:F48"/>
  </mergeCells>
  <dataValidations count="8">
    <dataValidation type="list" allowBlank="1" showInputMessage="1" showErrorMessage="1" sqref="F5:F10 F21:F31 F37 F14:F17" xr:uid="{00000000-0002-0000-1800-000000000000}">
      <formula1>$E$110:$E$124</formula1>
    </dataValidation>
    <dataValidation type="list" allowBlank="1" showInputMessage="1" showErrorMessage="1" sqref="G5:G10 G21:G31 G37 G14:G17" xr:uid="{00000000-0002-0000-1800-000001000000}">
      <formula1>$C$110:$C$118</formula1>
    </dataValidation>
    <dataValidation type="list" allowBlank="1" showInputMessage="1" showErrorMessage="1" sqref="A5:A10 A37 A28:A31 A14:A17 A26 A21:A24" xr:uid="{00000000-0002-0000-1800-000002000000}">
      <formula1>$D$110:$D$112</formula1>
    </dataValidation>
    <dataValidation type="list" allowBlank="1" showInputMessage="1" showErrorMessage="1" sqref="B5:B10 B37 B21:B31 B14:B17" xr:uid="{00000000-0002-0000-1800-000003000000}">
      <formula1>$B$110:$B$114</formula1>
    </dataValidation>
    <dataValidation type="list" allowBlank="1" showInputMessage="1" showErrorMessage="1" sqref="E5:E10 E14:E17 E37 E21:E31" xr:uid="{00000000-0002-0000-1800-000004000000}">
      <formula1>$F$110:$F$124</formula1>
    </dataValidation>
    <dataValidation type="list" allowBlank="1" showInputMessage="1" showErrorMessage="1" sqref="C14:D17 C5:D10 C37:D37 D21:D31 C21:C27" xr:uid="{00000000-0002-0000-1800-000005000000}">
      <formula1>$A$110:$A$122</formula1>
    </dataValidation>
    <dataValidation type="list" allowBlank="1" showInputMessage="1" showErrorMessage="1" sqref="C28:C31" xr:uid="{00000000-0002-0000-1800-000006000000}">
      <formula1>$A$105:$A$122</formula1>
    </dataValidation>
    <dataValidation type="list" allowBlank="1" showInputMessage="1" showErrorMessage="1" sqref="E40 C39:D46" xr:uid="{00000000-0002-0000-1800-000007000000}">
      <formula1>#REF!</formula1>
    </dataValidation>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5">
    <tabColor rgb="FFFF0000"/>
  </sheetPr>
  <dimension ref="A1:EA135"/>
  <sheetViews>
    <sheetView zoomScale="60" zoomScaleNormal="60" workbookViewId="0">
      <selection activeCell="K6" sqref="K6"/>
    </sheetView>
  </sheetViews>
  <sheetFormatPr defaultColWidth="8.77734375" defaultRowHeight="13.2" x14ac:dyDescent="0.25"/>
  <cols>
    <col min="1" max="7" width="26.44140625" customWidth="1"/>
    <col min="8" max="8" width="26.44140625" style="387" customWidth="1"/>
    <col min="9" max="15" width="26.44140625" customWidth="1"/>
    <col min="130" max="130" width="15.33203125" customWidth="1"/>
    <col min="131" max="131" width="16.33203125" customWidth="1"/>
    <col min="132" max="132" width="17.6640625" customWidth="1"/>
  </cols>
  <sheetData>
    <row r="1" spans="1:131" ht="18" thickBot="1" x14ac:dyDescent="0.3">
      <c r="A1" s="900" t="s">
        <v>310</v>
      </c>
      <c r="B1" s="900"/>
      <c r="C1" s="900"/>
      <c r="D1" s="900"/>
      <c r="E1" s="900"/>
      <c r="F1" s="900"/>
      <c r="G1" s="900"/>
      <c r="H1" s="900"/>
      <c r="I1" s="900"/>
      <c r="J1" s="900"/>
      <c r="K1" s="900"/>
      <c r="L1" s="900"/>
      <c r="M1" s="900"/>
      <c r="N1" s="900"/>
      <c r="O1" s="900"/>
    </row>
    <row r="2" spans="1:131" ht="17.399999999999999" x14ac:dyDescent="0.25">
      <c r="A2" s="440" t="s">
        <v>188</v>
      </c>
      <c r="B2" s="175"/>
      <c r="C2" s="440"/>
      <c r="D2" s="440"/>
      <c r="E2" s="440"/>
      <c r="F2" s="440"/>
      <c r="G2" s="440"/>
      <c r="H2" s="381"/>
      <c r="I2" s="440"/>
      <c r="J2" s="399"/>
      <c r="K2" s="399"/>
      <c r="L2" s="399"/>
      <c r="M2" s="399"/>
      <c r="N2" s="399"/>
      <c r="O2" s="399"/>
    </row>
    <row r="3" spans="1:131" ht="15" x14ac:dyDescent="0.25">
      <c r="A3" s="901" t="s">
        <v>204</v>
      </c>
      <c r="B3" s="902"/>
      <c r="C3" s="902"/>
      <c r="D3" s="902"/>
      <c r="E3" s="902"/>
      <c r="F3" s="902"/>
      <c r="G3" s="902"/>
      <c r="H3" s="902"/>
      <c r="I3" s="902"/>
      <c r="J3" s="902"/>
      <c r="K3" s="902"/>
      <c r="L3" s="902"/>
      <c r="M3" s="902"/>
      <c r="N3" s="902"/>
      <c r="O3" s="903"/>
    </row>
    <row r="4" spans="1:131" ht="60" x14ac:dyDescent="0.25">
      <c r="A4" s="176" t="s">
        <v>89</v>
      </c>
      <c r="B4" s="176" t="s">
        <v>90</v>
      </c>
      <c r="C4" s="177" t="s">
        <v>0</v>
      </c>
      <c r="D4" s="177" t="s">
        <v>124</v>
      </c>
      <c r="E4" s="176" t="s">
        <v>143</v>
      </c>
      <c r="F4" s="176" t="s">
        <v>144</v>
      </c>
      <c r="G4" s="176" t="s">
        <v>13</v>
      </c>
      <c r="H4" s="382" t="s">
        <v>88</v>
      </c>
      <c r="I4" s="176" t="s">
        <v>12</v>
      </c>
      <c r="J4" s="400" t="s">
        <v>158</v>
      </c>
      <c r="K4" s="400" t="s">
        <v>148</v>
      </c>
      <c r="L4" s="400" t="s">
        <v>180</v>
      </c>
      <c r="M4" s="400" t="s">
        <v>104</v>
      </c>
      <c r="N4" s="400" t="s">
        <v>179</v>
      </c>
      <c r="O4" s="400" t="s">
        <v>205</v>
      </c>
    </row>
    <row r="5" spans="1:131" ht="30" x14ac:dyDescent="0.25">
      <c r="A5" s="322" t="s">
        <v>84</v>
      </c>
      <c r="B5" s="322" t="s">
        <v>3</v>
      </c>
      <c r="C5" s="322" t="s">
        <v>307</v>
      </c>
      <c r="D5" s="322" t="s">
        <v>307</v>
      </c>
      <c r="E5" s="327" t="s">
        <v>120</v>
      </c>
      <c r="F5" s="457" t="s">
        <v>44</v>
      </c>
      <c r="G5" s="322" t="s">
        <v>14</v>
      </c>
      <c r="H5" s="85">
        <v>44423</v>
      </c>
      <c r="I5" s="322" t="s">
        <v>23</v>
      </c>
      <c r="J5" s="350">
        <v>143.66999999999999</v>
      </c>
      <c r="K5" s="350">
        <f>'Dec12'!K5</f>
        <v>118.16</v>
      </c>
      <c r="L5" s="350">
        <f t="shared" ref="L5:L8" si="0">N5-M5</f>
        <v>16.86753057</v>
      </c>
      <c r="M5" s="350">
        <f>-DZ5/1000000</f>
        <v>1.9675053600000001</v>
      </c>
      <c r="N5" s="350">
        <f>-EA5/1000000</f>
        <v>18.83503593</v>
      </c>
      <c r="O5" s="88"/>
      <c r="DZ5" s="480">
        <v>-1967505.36</v>
      </c>
      <c r="EA5" s="480">
        <v>-18835035.93</v>
      </c>
    </row>
    <row r="6" spans="1:131" ht="30" x14ac:dyDescent="0.25">
      <c r="A6" s="328" t="s">
        <v>84</v>
      </c>
      <c r="B6" s="328" t="s">
        <v>3</v>
      </c>
      <c r="C6" s="328" t="s">
        <v>307</v>
      </c>
      <c r="D6" s="328" t="s">
        <v>307</v>
      </c>
      <c r="E6" s="329" t="s">
        <v>120</v>
      </c>
      <c r="F6" s="458" t="s">
        <v>44</v>
      </c>
      <c r="G6" s="328" t="s">
        <v>14</v>
      </c>
      <c r="H6" s="93">
        <v>44576</v>
      </c>
      <c r="I6" s="328" t="s">
        <v>24</v>
      </c>
      <c r="J6" s="351">
        <v>27.4</v>
      </c>
      <c r="K6" s="351">
        <v>25.83</v>
      </c>
      <c r="L6" s="351">
        <f t="shared" si="0"/>
        <v>4.3307669400000002</v>
      </c>
      <c r="M6" s="351">
        <f t="shared" ref="M6:M8" si="1">-DZ6/1000000</f>
        <v>8.5729050000000001E-2</v>
      </c>
      <c r="N6" s="351">
        <f t="shared" ref="N6:N8" si="2">-EA6/1000000</f>
        <v>4.4164959900000005</v>
      </c>
      <c r="O6" s="96"/>
      <c r="DZ6" s="481">
        <v>-85729.05</v>
      </c>
      <c r="EA6" s="481">
        <v>-4416495.99</v>
      </c>
    </row>
    <row r="7" spans="1:131" ht="30" x14ac:dyDescent="0.25">
      <c r="A7" s="322" t="s">
        <v>84</v>
      </c>
      <c r="B7" s="322" t="s">
        <v>3</v>
      </c>
      <c r="C7" s="322" t="s">
        <v>308</v>
      </c>
      <c r="D7" s="322" t="s">
        <v>308</v>
      </c>
      <c r="E7" s="327" t="s">
        <v>39</v>
      </c>
      <c r="F7" s="457" t="s">
        <v>38</v>
      </c>
      <c r="G7" s="322" t="s">
        <v>14</v>
      </c>
      <c r="H7" s="85">
        <v>44576</v>
      </c>
      <c r="I7" s="322" t="s">
        <v>24</v>
      </c>
      <c r="J7" s="350">
        <v>26.85</v>
      </c>
      <c r="K7" s="350">
        <v>25.38</v>
      </c>
      <c r="L7" s="350">
        <f t="shared" si="0"/>
        <v>4.2460189399999999</v>
      </c>
      <c r="M7" s="350">
        <f t="shared" si="1"/>
        <v>8.4186670000000005E-2</v>
      </c>
      <c r="N7" s="350">
        <f t="shared" si="2"/>
        <v>4.3302056100000001</v>
      </c>
      <c r="O7" s="88"/>
      <c r="DZ7" s="480">
        <v>-84186.67</v>
      </c>
      <c r="EA7" s="480">
        <v>-4330205.6100000003</v>
      </c>
    </row>
    <row r="8" spans="1:131" ht="30" x14ac:dyDescent="0.25">
      <c r="A8" s="328" t="s">
        <v>84</v>
      </c>
      <c r="B8" s="328" t="s">
        <v>3</v>
      </c>
      <c r="C8" s="328" t="s">
        <v>309</v>
      </c>
      <c r="D8" s="328" t="s">
        <v>125</v>
      </c>
      <c r="E8" s="329" t="s">
        <v>39</v>
      </c>
      <c r="F8" s="458" t="s">
        <v>42</v>
      </c>
      <c r="G8" s="328" t="s">
        <v>14</v>
      </c>
      <c r="H8" s="93">
        <v>46296</v>
      </c>
      <c r="I8" s="328" t="s">
        <v>25</v>
      </c>
      <c r="J8" s="351">
        <v>40.880000000000003</v>
      </c>
      <c r="K8" s="351">
        <f>'Dec12'!K8</f>
        <v>37.659999999999997</v>
      </c>
      <c r="L8" s="351">
        <f t="shared" si="0"/>
        <v>6.2295817399999995</v>
      </c>
      <c r="M8" s="351">
        <f t="shared" si="1"/>
        <v>0.10660188000000001</v>
      </c>
      <c r="N8" s="351">
        <f t="shared" si="2"/>
        <v>6.3361836199999999</v>
      </c>
      <c r="O8" s="96"/>
      <c r="DZ8" s="481">
        <v>-106601.88</v>
      </c>
      <c r="EA8" s="481">
        <v>-6336183.6200000001</v>
      </c>
    </row>
    <row r="9" spans="1:131" ht="15" x14ac:dyDescent="0.25">
      <c r="A9" s="111"/>
      <c r="B9" s="111"/>
      <c r="C9" s="111"/>
      <c r="D9" s="111"/>
      <c r="E9" s="123"/>
      <c r="F9" s="111"/>
      <c r="G9" s="111"/>
      <c r="H9" s="114"/>
      <c r="I9" s="111"/>
      <c r="J9" s="352"/>
      <c r="K9" s="352"/>
      <c r="L9" s="352"/>
      <c r="M9" s="352"/>
      <c r="N9" s="353"/>
      <c r="O9" s="353"/>
    </row>
    <row r="10" spans="1:131" ht="15" x14ac:dyDescent="0.25">
      <c r="A10" s="328"/>
      <c r="B10" s="328"/>
      <c r="C10" s="328"/>
      <c r="D10" s="328"/>
      <c r="E10" s="329"/>
      <c r="F10" s="328"/>
      <c r="G10" s="328"/>
      <c r="H10" s="93"/>
      <c r="I10" s="328"/>
      <c r="J10" s="351"/>
      <c r="K10" s="351"/>
      <c r="L10" s="351"/>
      <c r="M10" s="351"/>
      <c r="N10" s="96"/>
      <c r="O10" s="96"/>
    </row>
    <row r="11" spans="1:131" ht="15" x14ac:dyDescent="0.25">
      <c r="A11" s="901" t="s">
        <v>203</v>
      </c>
      <c r="B11" s="902"/>
      <c r="C11" s="902"/>
      <c r="D11" s="902"/>
      <c r="E11" s="902"/>
      <c r="F11" s="902"/>
      <c r="G11" s="902"/>
      <c r="H11" s="902"/>
      <c r="I11" s="902"/>
      <c r="J11" s="902"/>
      <c r="K11" s="902"/>
      <c r="L11" s="902"/>
      <c r="M11" s="902"/>
      <c r="N11" s="902"/>
      <c r="O11" s="903"/>
    </row>
    <row r="12" spans="1:131" ht="60" x14ac:dyDescent="0.25">
      <c r="A12" s="176" t="s">
        <v>89</v>
      </c>
      <c r="B12" s="176" t="s">
        <v>90</v>
      </c>
      <c r="C12" s="177" t="s">
        <v>0</v>
      </c>
      <c r="D12" s="180" t="s">
        <v>124</v>
      </c>
      <c r="E12" s="176" t="s">
        <v>143</v>
      </c>
      <c r="F12" s="176" t="s">
        <v>144</v>
      </c>
      <c r="G12" s="176" t="s">
        <v>13</v>
      </c>
      <c r="H12" s="382" t="s">
        <v>88</v>
      </c>
      <c r="I12" s="176" t="s">
        <v>12</v>
      </c>
      <c r="J12" s="400" t="s">
        <v>150</v>
      </c>
      <c r="K12" s="400" t="s">
        <v>151</v>
      </c>
      <c r="L12" s="400" t="s">
        <v>157</v>
      </c>
      <c r="M12" s="400" t="s">
        <v>149</v>
      </c>
      <c r="N12" s="400" t="s">
        <v>179</v>
      </c>
      <c r="O12" s="400" t="s">
        <v>205</v>
      </c>
    </row>
    <row r="13" spans="1:131" ht="15" x14ac:dyDescent="0.25">
      <c r="A13" s="184" t="s">
        <v>197</v>
      </c>
      <c r="B13" s="184"/>
      <c r="C13" s="185"/>
      <c r="D13" s="185"/>
      <c r="E13" s="184"/>
      <c r="F13" s="184"/>
      <c r="G13" s="184"/>
      <c r="H13" s="383"/>
      <c r="I13" s="184"/>
      <c r="J13" s="403"/>
      <c r="K13" s="403"/>
      <c r="L13" s="403"/>
      <c r="M13" s="403"/>
      <c r="N13" s="403"/>
      <c r="O13" s="404"/>
    </row>
    <row r="14" spans="1:131" ht="30" x14ac:dyDescent="0.25">
      <c r="A14" s="322" t="s">
        <v>8</v>
      </c>
      <c r="B14" s="322" t="s">
        <v>7</v>
      </c>
      <c r="C14" s="322" t="s">
        <v>239</v>
      </c>
      <c r="D14" s="322" t="s">
        <v>238</v>
      </c>
      <c r="E14" s="327" t="s">
        <v>32</v>
      </c>
      <c r="F14" s="327" t="s">
        <v>118</v>
      </c>
      <c r="G14" s="322" t="s">
        <v>22</v>
      </c>
      <c r="H14" s="85">
        <v>41455</v>
      </c>
      <c r="I14" s="322" t="s">
        <v>131</v>
      </c>
      <c r="J14" s="88">
        <v>26.69</v>
      </c>
      <c r="K14" s="88">
        <v>-17.010000000000002</v>
      </c>
      <c r="L14" s="488">
        <v>9.68</v>
      </c>
      <c r="M14" s="88"/>
      <c r="N14" s="88"/>
      <c r="O14" s="88"/>
    </row>
    <row r="15" spans="1:131" ht="30" x14ac:dyDescent="0.25">
      <c r="A15" s="328" t="s">
        <v>8</v>
      </c>
      <c r="B15" s="328" t="s">
        <v>193</v>
      </c>
      <c r="C15" s="328" t="s">
        <v>239</v>
      </c>
      <c r="D15" s="328" t="s">
        <v>238</v>
      </c>
      <c r="E15" s="328" t="s">
        <v>32</v>
      </c>
      <c r="F15" s="328" t="s">
        <v>118</v>
      </c>
      <c r="G15" s="328" t="s">
        <v>22</v>
      </c>
      <c r="H15" s="385">
        <v>41820</v>
      </c>
      <c r="I15" s="328" t="s">
        <v>132</v>
      </c>
      <c r="J15" s="379">
        <v>17.510000000000002</v>
      </c>
      <c r="K15" s="379"/>
      <c r="L15" s="489">
        <v>17.510000000000002</v>
      </c>
      <c r="M15" s="379"/>
      <c r="N15" s="379"/>
      <c r="O15" s="379"/>
    </row>
    <row r="16" spans="1:131" ht="30" x14ac:dyDescent="0.25">
      <c r="A16" s="322" t="s">
        <v>8</v>
      </c>
      <c r="B16" s="322" t="s">
        <v>193</v>
      </c>
      <c r="C16" s="322" t="s">
        <v>239</v>
      </c>
      <c r="D16" s="322" t="s">
        <v>238</v>
      </c>
      <c r="E16" s="322" t="s">
        <v>32</v>
      </c>
      <c r="F16" s="322" t="s">
        <v>118</v>
      </c>
      <c r="G16" s="322" t="s">
        <v>22</v>
      </c>
      <c r="H16" s="386">
        <v>42185</v>
      </c>
      <c r="I16" s="322" t="s">
        <v>133</v>
      </c>
      <c r="J16" s="380">
        <v>13.06</v>
      </c>
      <c r="K16" s="380"/>
      <c r="L16" s="488">
        <v>13.06</v>
      </c>
      <c r="M16" s="380"/>
      <c r="N16" s="380"/>
      <c r="O16" s="380"/>
    </row>
    <row r="17" spans="1:15" ht="30" x14ac:dyDescent="0.25">
      <c r="A17" s="328" t="s">
        <v>8</v>
      </c>
      <c r="B17" s="328" t="s">
        <v>193</v>
      </c>
      <c r="C17" s="328" t="s">
        <v>239</v>
      </c>
      <c r="D17" s="328" t="s">
        <v>238</v>
      </c>
      <c r="E17" s="328" t="s">
        <v>32</v>
      </c>
      <c r="F17" s="328" t="s">
        <v>118</v>
      </c>
      <c r="G17" s="328" t="s">
        <v>22</v>
      </c>
      <c r="H17" s="385">
        <v>42551</v>
      </c>
      <c r="I17" s="328" t="s">
        <v>300</v>
      </c>
      <c r="J17" s="379">
        <v>0.49</v>
      </c>
      <c r="K17" s="379"/>
      <c r="L17" s="490">
        <v>0.49</v>
      </c>
      <c r="M17" s="379"/>
      <c r="N17" s="379"/>
      <c r="O17" s="379"/>
    </row>
    <row r="18" spans="1:15" ht="15" x14ac:dyDescent="0.25">
      <c r="A18" s="181" t="s">
        <v>295</v>
      </c>
      <c r="B18" s="181"/>
      <c r="C18" s="181"/>
      <c r="D18" s="181"/>
      <c r="E18" s="182"/>
      <c r="F18" s="181"/>
      <c r="G18" s="181"/>
      <c r="H18" s="183" t="s">
        <v>206</v>
      </c>
      <c r="I18" s="181"/>
      <c r="J18" s="354">
        <f>SUM(J14:J17)</f>
        <v>57.750000000000007</v>
      </c>
      <c r="K18" s="354">
        <f>SUM(K14:K17)</f>
        <v>-17.010000000000002</v>
      </c>
      <c r="L18" s="354">
        <f>SUM(L14:L17)</f>
        <v>40.74</v>
      </c>
      <c r="M18" s="354">
        <f>+L18-N18</f>
        <v>34.537112</v>
      </c>
      <c r="N18" s="354">
        <v>6.2028879999999997</v>
      </c>
      <c r="O18" s="354">
        <v>35</v>
      </c>
    </row>
    <row r="19" spans="1:15" ht="15" x14ac:dyDescent="0.25">
      <c r="A19" s="181"/>
      <c r="B19" s="181"/>
      <c r="C19" s="181"/>
      <c r="D19" s="181"/>
      <c r="E19" s="182"/>
      <c r="F19" s="181"/>
      <c r="G19" s="181"/>
      <c r="H19" s="183"/>
      <c r="I19" s="181"/>
      <c r="J19" s="354"/>
      <c r="K19" s="354"/>
      <c r="L19" s="354"/>
      <c r="M19" s="354"/>
      <c r="N19" s="354"/>
      <c r="O19" s="354"/>
    </row>
    <row r="20" spans="1:15" ht="15" x14ac:dyDescent="0.25">
      <c r="A20" s="184" t="s">
        <v>198</v>
      </c>
      <c r="B20" s="184"/>
      <c r="C20" s="185"/>
      <c r="D20" s="185"/>
      <c r="E20" s="184"/>
      <c r="F20" s="184"/>
      <c r="G20" s="184"/>
      <c r="H20" s="383"/>
      <c r="I20" s="184"/>
      <c r="J20" s="459"/>
      <c r="K20" s="459"/>
      <c r="L20" s="459"/>
      <c r="M20" s="459"/>
      <c r="N20" s="459"/>
      <c r="O20" s="186"/>
    </row>
    <row r="21" spans="1:15" ht="30" x14ac:dyDescent="0.25">
      <c r="A21" s="482" t="s">
        <v>8</v>
      </c>
      <c r="B21" s="482" t="s">
        <v>7</v>
      </c>
      <c r="C21" s="482" t="s">
        <v>27</v>
      </c>
      <c r="D21" s="482" t="s">
        <v>127</v>
      </c>
      <c r="E21" s="327" t="s">
        <v>33</v>
      </c>
      <c r="F21" s="327" t="s">
        <v>45</v>
      </c>
      <c r="G21" s="482" t="s">
        <v>22</v>
      </c>
      <c r="H21" s="483">
        <v>41455</v>
      </c>
      <c r="I21" s="482" t="s">
        <v>137</v>
      </c>
      <c r="J21" s="88">
        <v>5.2490547599999999</v>
      </c>
      <c r="K21" s="88">
        <v>-3.2422878799999997</v>
      </c>
      <c r="L21" s="488">
        <v>2.0067668800000003</v>
      </c>
      <c r="M21" s="486"/>
      <c r="N21" s="486"/>
      <c r="O21" s="486"/>
    </row>
    <row r="22" spans="1:15" ht="30" x14ac:dyDescent="0.25">
      <c r="A22" s="485" t="s">
        <v>8</v>
      </c>
      <c r="B22" s="485" t="s">
        <v>7</v>
      </c>
      <c r="C22" s="485" t="s">
        <v>27</v>
      </c>
      <c r="D22" s="485" t="s">
        <v>127</v>
      </c>
      <c r="E22" s="485" t="s">
        <v>33</v>
      </c>
      <c r="F22" s="485" t="s">
        <v>45</v>
      </c>
      <c r="G22" s="485" t="s">
        <v>22</v>
      </c>
      <c r="H22" s="385">
        <v>41820</v>
      </c>
      <c r="I22" s="485" t="s">
        <v>138</v>
      </c>
      <c r="J22" s="379">
        <v>0.92112859999999996</v>
      </c>
      <c r="K22" s="379">
        <v>0</v>
      </c>
      <c r="L22" s="489">
        <v>0.92112859999999996</v>
      </c>
      <c r="M22" s="484"/>
      <c r="N22" s="484"/>
      <c r="O22" s="484"/>
    </row>
    <row r="23" spans="1:15" ht="30" x14ac:dyDescent="0.25">
      <c r="A23" s="482" t="s">
        <v>8</v>
      </c>
      <c r="B23" s="482" t="s">
        <v>7</v>
      </c>
      <c r="C23" s="482" t="s">
        <v>27</v>
      </c>
      <c r="D23" s="482" t="s">
        <v>127</v>
      </c>
      <c r="E23" s="482" t="s">
        <v>33</v>
      </c>
      <c r="F23" s="482" t="s">
        <v>45</v>
      </c>
      <c r="G23" s="482" t="s">
        <v>22</v>
      </c>
      <c r="H23" s="386">
        <v>42185</v>
      </c>
      <c r="I23" s="482" t="s">
        <v>139</v>
      </c>
      <c r="J23" s="380"/>
      <c r="K23" s="380">
        <v>0</v>
      </c>
      <c r="L23" s="488">
        <v>0</v>
      </c>
      <c r="M23" s="487"/>
      <c r="N23" s="487"/>
      <c r="O23" s="487"/>
    </row>
    <row r="24" spans="1:15" ht="30" x14ac:dyDescent="0.25">
      <c r="A24" s="485" t="s">
        <v>8</v>
      </c>
      <c r="B24" s="485" t="s">
        <v>7</v>
      </c>
      <c r="C24" s="485" t="s">
        <v>27</v>
      </c>
      <c r="D24" s="485" t="s">
        <v>127</v>
      </c>
      <c r="E24" s="485" t="s">
        <v>33</v>
      </c>
      <c r="F24" s="485" t="s">
        <v>45</v>
      </c>
      <c r="G24" s="485" t="s">
        <v>22</v>
      </c>
      <c r="H24" s="385">
        <v>42551</v>
      </c>
      <c r="I24" s="485" t="s">
        <v>301</v>
      </c>
      <c r="J24" s="379"/>
      <c r="K24" s="379">
        <v>0</v>
      </c>
      <c r="L24" s="490">
        <v>0</v>
      </c>
      <c r="M24" s="484"/>
      <c r="N24" s="484"/>
      <c r="O24" s="484"/>
    </row>
    <row r="25" spans="1:15" ht="15" x14ac:dyDescent="0.25">
      <c r="A25" s="181" t="s">
        <v>324</v>
      </c>
      <c r="B25" s="181"/>
      <c r="C25" s="181"/>
      <c r="D25" s="181"/>
      <c r="E25" s="182"/>
      <c r="F25" s="181"/>
      <c r="G25" s="181"/>
      <c r="H25" s="183" t="s">
        <v>206</v>
      </c>
      <c r="I25" s="181"/>
      <c r="J25" s="354">
        <f>SUM(J21:J24)</f>
        <v>6.1701833600000002</v>
      </c>
      <c r="K25" s="354">
        <f>SUM(K21:K24)</f>
        <v>-3.2422878799999997</v>
      </c>
      <c r="L25" s="354">
        <f>SUM(L21:L24)</f>
        <v>2.9278954800000001</v>
      </c>
      <c r="M25" s="354">
        <f>+L25-N25</f>
        <v>2.4499890500000001</v>
      </c>
      <c r="N25" s="354">
        <v>0.47790642999999999</v>
      </c>
      <c r="O25" s="354"/>
    </row>
    <row r="26" spans="1:15" ht="15" x14ac:dyDescent="0.25">
      <c r="A26" s="181"/>
      <c r="B26" s="181"/>
      <c r="C26" s="181"/>
      <c r="D26" s="181"/>
      <c r="E26" s="182"/>
      <c r="F26" s="181"/>
      <c r="G26" s="181"/>
      <c r="H26" s="183"/>
      <c r="I26" s="181"/>
      <c r="J26" s="354"/>
      <c r="K26" s="354"/>
      <c r="L26" s="354"/>
      <c r="M26" s="354"/>
      <c r="N26" s="354"/>
      <c r="O26" s="354"/>
    </row>
    <row r="27" spans="1:15" ht="15" x14ac:dyDescent="0.25">
      <c r="A27" s="184" t="s">
        <v>198</v>
      </c>
      <c r="B27" s="184"/>
      <c r="C27" s="185"/>
      <c r="D27" s="185"/>
      <c r="E27" s="184"/>
      <c r="F27" s="184"/>
      <c r="G27" s="184"/>
      <c r="H27" s="383"/>
      <c r="I27" s="184"/>
      <c r="J27" s="459"/>
      <c r="K27" s="459"/>
      <c r="L27" s="459"/>
      <c r="M27" s="459"/>
      <c r="N27" s="459"/>
      <c r="O27" s="186"/>
    </row>
    <row r="28" spans="1:15" ht="30" x14ac:dyDescent="0.25">
      <c r="A28" s="482" t="s">
        <v>8</v>
      </c>
      <c r="B28" s="482" t="s">
        <v>7</v>
      </c>
      <c r="C28" s="482" t="s">
        <v>326</v>
      </c>
      <c r="D28" s="482" t="s">
        <v>128</v>
      </c>
      <c r="E28" s="327" t="s">
        <v>33</v>
      </c>
      <c r="F28" s="327" t="s">
        <v>45</v>
      </c>
      <c r="G28" s="482" t="s">
        <v>22</v>
      </c>
      <c r="H28" s="483">
        <v>41455</v>
      </c>
      <c r="I28" s="482" t="s">
        <v>137</v>
      </c>
      <c r="J28" s="88">
        <v>0.78420411999999995</v>
      </c>
      <c r="K28" s="88">
        <v>-8.1594520000000004E-2</v>
      </c>
      <c r="L28" s="488">
        <v>0.70260959999999995</v>
      </c>
      <c r="M28" s="379"/>
      <c r="N28" s="379"/>
      <c r="O28" s="379"/>
    </row>
    <row r="29" spans="1:15" ht="30" x14ac:dyDescent="0.25">
      <c r="A29" s="485" t="s">
        <v>8</v>
      </c>
      <c r="B29" s="485" t="s">
        <v>7</v>
      </c>
      <c r="C29" s="485" t="s">
        <v>326</v>
      </c>
      <c r="D29" s="485" t="s">
        <v>128</v>
      </c>
      <c r="E29" s="485" t="s">
        <v>33</v>
      </c>
      <c r="F29" s="485" t="s">
        <v>45</v>
      </c>
      <c r="G29" s="485" t="s">
        <v>22</v>
      </c>
      <c r="H29" s="385">
        <v>41820</v>
      </c>
      <c r="I29" s="485" t="s">
        <v>138</v>
      </c>
      <c r="J29" s="379">
        <v>2.7230235199999999</v>
      </c>
      <c r="K29" s="379">
        <v>0</v>
      </c>
      <c r="L29" s="489">
        <v>2.7230235199999999</v>
      </c>
      <c r="M29" s="380"/>
      <c r="N29" s="380"/>
      <c r="O29" s="380"/>
    </row>
    <row r="30" spans="1:15" ht="30" x14ac:dyDescent="0.25">
      <c r="A30" s="482" t="s">
        <v>8</v>
      </c>
      <c r="B30" s="482" t="s">
        <v>7</v>
      </c>
      <c r="C30" s="482" t="s">
        <v>326</v>
      </c>
      <c r="D30" s="482" t="s">
        <v>128</v>
      </c>
      <c r="E30" s="482" t="s">
        <v>33</v>
      </c>
      <c r="F30" s="482" t="s">
        <v>45</v>
      </c>
      <c r="G30" s="482" t="s">
        <v>22</v>
      </c>
      <c r="H30" s="386">
        <v>42185</v>
      </c>
      <c r="I30" s="482" t="s">
        <v>139</v>
      </c>
      <c r="J30" s="380">
        <v>1.5495680000000001</v>
      </c>
      <c r="K30" s="380">
        <v>0</v>
      </c>
      <c r="L30" s="488">
        <v>1.5495680000000001</v>
      </c>
      <c r="M30" s="379"/>
      <c r="N30" s="379"/>
      <c r="O30" s="379"/>
    </row>
    <row r="31" spans="1:15" ht="30" x14ac:dyDescent="0.25">
      <c r="A31" s="485" t="s">
        <v>8</v>
      </c>
      <c r="B31" s="485" t="s">
        <v>7</v>
      </c>
      <c r="C31" s="485" t="s">
        <v>326</v>
      </c>
      <c r="D31" s="485" t="s">
        <v>128</v>
      </c>
      <c r="E31" s="485" t="s">
        <v>33</v>
      </c>
      <c r="F31" s="485" t="s">
        <v>45</v>
      </c>
      <c r="G31" s="485" t="s">
        <v>22</v>
      </c>
      <c r="H31" s="385">
        <v>42551</v>
      </c>
      <c r="I31" s="485" t="s">
        <v>301</v>
      </c>
      <c r="J31" s="379">
        <v>0.72236800000000001</v>
      </c>
      <c r="K31" s="379">
        <v>0</v>
      </c>
      <c r="L31" s="490">
        <v>0.72236800000000001</v>
      </c>
      <c r="M31" s="380"/>
      <c r="N31" s="380"/>
      <c r="O31" s="380"/>
    </row>
    <row r="32" spans="1:15" ht="15" x14ac:dyDescent="0.25">
      <c r="A32" s="181" t="s">
        <v>325</v>
      </c>
      <c r="B32" s="181"/>
      <c r="C32" s="181"/>
      <c r="D32" s="181"/>
      <c r="E32" s="182"/>
      <c r="F32" s="181"/>
      <c r="G32" s="181"/>
      <c r="H32" s="183" t="s">
        <v>206</v>
      </c>
      <c r="I32" s="181"/>
      <c r="J32" s="354">
        <f>SUM(J28:J31)</f>
        <v>5.7791636400000002</v>
      </c>
      <c r="K32" s="354">
        <f>SUM(K28:K31)</f>
        <v>-8.1594520000000004E-2</v>
      </c>
      <c r="L32" s="354">
        <f>SUM(L28:L31)</f>
        <v>5.6975691199999998</v>
      </c>
      <c r="M32" s="354">
        <f>+L32-N32</f>
        <v>6.0158565600000005</v>
      </c>
      <c r="N32" s="354">
        <v>-0.31828744000000025</v>
      </c>
      <c r="O32" s="354"/>
    </row>
    <row r="33" spans="1:15" ht="30" x14ac:dyDescent="0.25">
      <c r="A33" s="181" t="s">
        <v>296</v>
      </c>
      <c r="B33" s="181"/>
      <c r="C33" s="181"/>
      <c r="D33" s="181"/>
      <c r="E33" s="182"/>
      <c r="F33" s="181"/>
      <c r="G33" s="181"/>
      <c r="H33" s="183"/>
      <c r="I33" s="181"/>
      <c r="J33" s="354">
        <f>J25+J32</f>
        <v>11.949346999999999</v>
      </c>
      <c r="K33" s="354">
        <f>K25+K32</f>
        <v>-3.3238823999999996</v>
      </c>
      <c r="L33" s="354">
        <f>L25+L32</f>
        <v>8.6254646000000008</v>
      </c>
      <c r="M33" s="354">
        <f>M25+M32</f>
        <v>8.4658456100000006</v>
      </c>
      <c r="N33" s="354">
        <f>N25+N32</f>
        <v>0.15961898999999974</v>
      </c>
      <c r="O33" s="354">
        <f>O32</f>
        <v>0</v>
      </c>
    </row>
    <row r="34" spans="1:15" ht="15" x14ac:dyDescent="0.25">
      <c r="A34" s="184" t="s">
        <v>298</v>
      </c>
      <c r="B34" s="184"/>
      <c r="C34" s="185"/>
      <c r="D34" s="185"/>
      <c r="E34" s="184"/>
      <c r="F34" s="184"/>
      <c r="G34" s="184"/>
      <c r="H34" s="383"/>
      <c r="I34" s="184"/>
      <c r="J34" s="403"/>
      <c r="K34" s="403"/>
      <c r="L34" s="403"/>
      <c r="M34" s="403"/>
      <c r="N34" s="403"/>
      <c r="O34" s="404"/>
    </row>
    <row r="35" spans="1:15" ht="15" x14ac:dyDescent="0.25">
      <c r="A35" s="901">
        <v>1.08</v>
      </c>
      <c r="B35" s="902"/>
      <c r="C35" s="902"/>
      <c r="D35" s="902"/>
      <c r="E35" s="902"/>
      <c r="F35" s="902"/>
      <c r="G35" s="902"/>
      <c r="H35" s="902"/>
      <c r="I35" s="902"/>
      <c r="J35" s="902"/>
      <c r="K35" s="902"/>
      <c r="L35" s="902"/>
      <c r="M35" s="902"/>
      <c r="N35" s="902"/>
      <c r="O35" s="903"/>
    </row>
    <row r="36" spans="1:15" ht="60" x14ac:dyDescent="0.25">
      <c r="A36" s="176" t="s">
        <v>89</v>
      </c>
      <c r="B36" s="176" t="s">
        <v>90</v>
      </c>
      <c r="C36" s="177" t="s">
        <v>0</v>
      </c>
      <c r="D36" s="177" t="s">
        <v>124</v>
      </c>
      <c r="E36" s="176" t="s">
        <v>143</v>
      </c>
      <c r="F36" s="176" t="s">
        <v>144</v>
      </c>
      <c r="G36" s="176" t="s">
        <v>13</v>
      </c>
      <c r="H36" s="382" t="s">
        <v>88</v>
      </c>
      <c r="I36" s="176" t="s">
        <v>12</v>
      </c>
      <c r="J36" s="400" t="s">
        <v>200</v>
      </c>
      <c r="K36" s="400" t="s">
        <v>199</v>
      </c>
      <c r="L36" s="400" t="s">
        <v>201</v>
      </c>
      <c r="M36" s="400" t="s">
        <v>149</v>
      </c>
      <c r="N36" s="400" t="s">
        <v>179</v>
      </c>
      <c r="O36" s="400" t="s">
        <v>304</v>
      </c>
    </row>
    <row r="37" spans="1:15" ht="30" x14ac:dyDescent="0.25">
      <c r="A37" s="328" t="s">
        <v>84</v>
      </c>
      <c r="B37" s="328" t="s">
        <v>9</v>
      </c>
      <c r="C37" s="328" t="s">
        <v>183</v>
      </c>
      <c r="D37" s="328" t="s">
        <v>142</v>
      </c>
      <c r="E37" s="329" t="s">
        <v>142</v>
      </c>
      <c r="F37" s="328" t="s">
        <v>142</v>
      </c>
      <c r="G37" s="328" t="s">
        <v>22</v>
      </c>
      <c r="H37" s="93">
        <v>41449</v>
      </c>
      <c r="I37" s="328" t="s">
        <v>172</v>
      </c>
      <c r="J37" s="96">
        <v>7.0349999999999996E-2</v>
      </c>
      <c r="K37" s="96" t="s">
        <v>299</v>
      </c>
      <c r="L37" s="96">
        <v>7.0349999999999996E-2</v>
      </c>
      <c r="M37" s="96">
        <f>+O37*50000/1000000</f>
        <v>6.7890000000000006E-2</v>
      </c>
      <c r="N37" s="292">
        <f>IF(M37-L37&lt;0,0,M37-L37)</f>
        <v>0</v>
      </c>
      <c r="O37" s="96">
        <v>1.3577999999999999</v>
      </c>
    </row>
    <row r="38" spans="1:15" ht="30" x14ac:dyDescent="0.25">
      <c r="A38" s="111" t="s">
        <v>297</v>
      </c>
      <c r="B38" s="99"/>
      <c r="C38" s="2"/>
      <c r="D38" s="2"/>
      <c r="E38" s="2"/>
      <c r="F38" s="2"/>
      <c r="G38" s="2"/>
      <c r="H38" s="3"/>
      <c r="I38" s="2"/>
      <c r="J38" s="293"/>
      <c r="K38" s="293"/>
      <c r="L38" s="144">
        <f>L37</f>
        <v>7.0349999999999996E-2</v>
      </c>
      <c r="M38" s="144"/>
      <c r="N38" s="491">
        <f>N37</f>
        <v>0</v>
      </c>
      <c r="O38" s="144"/>
    </row>
    <row r="39" spans="1:15" ht="15" x14ac:dyDescent="0.25">
      <c r="A39" s="99"/>
      <c r="B39" s="99"/>
      <c r="C39" s="99"/>
      <c r="D39" s="99"/>
      <c r="E39" s="99"/>
      <c r="F39" s="99"/>
      <c r="G39" s="99"/>
      <c r="H39" s="388"/>
      <c r="I39" s="99"/>
      <c r="J39" s="144"/>
      <c r="K39" s="144"/>
      <c r="L39" s="144"/>
      <c r="M39" s="144"/>
      <c r="N39" s="144"/>
      <c r="O39" s="144"/>
    </row>
    <row r="40" spans="1:15" ht="15" x14ac:dyDescent="0.25">
      <c r="A40" s="99"/>
      <c r="B40" s="99"/>
      <c r="C40" s="99"/>
      <c r="D40" s="99"/>
      <c r="E40" s="99"/>
      <c r="F40" s="99"/>
      <c r="G40" s="99"/>
      <c r="H40" s="388"/>
      <c r="I40" s="99"/>
      <c r="J40" s="77"/>
      <c r="K40" s="144"/>
      <c r="L40" s="144"/>
      <c r="M40" s="77"/>
      <c r="N40" s="77"/>
      <c r="O40" s="77"/>
    </row>
    <row r="41" spans="1:15" ht="15" x14ac:dyDescent="0.25">
      <c r="A41" s="99"/>
      <c r="B41" s="99"/>
      <c r="C41" s="99"/>
      <c r="D41" s="99"/>
      <c r="E41" s="99"/>
      <c r="F41" s="99"/>
      <c r="G41" s="99"/>
      <c r="H41" s="388"/>
      <c r="I41" s="99"/>
      <c r="J41" s="77"/>
      <c r="K41" s="77"/>
      <c r="L41" s="77"/>
      <c r="M41" s="77"/>
      <c r="N41" s="77"/>
      <c r="O41" s="77"/>
    </row>
    <row r="42" spans="1:15" ht="15" x14ac:dyDescent="0.25">
      <c r="A42" s="99"/>
      <c r="B42" s="99"/>
      <c r="C42" s="99"/>
      <c r="D42" s="99"/>
      <c r="E42" s="99"/>
      <c r="F42" s="99"/>
      <c r="G42" s="99"/>
      <c r="H42" s="388"/>
      <c r="I42" s="99"/>
      <c r="J42" s="77"/>
      <c r="K42" s="77"/>
      <c r="L42" s="77"/>
      <c r="M42" s="77"/>
      <c r="N42" s="77"/>
      <c r="O42" s="77"/>
    </row>
    <row r="43" spans="1:15" ht="15" x14ac:dyDescent="0.25">
      <c r="A43" s="99"/>
      <c r="B43" s="99"/>
      <c r="C43" s="99"/>
      <c r="D43" s="99"/>
      <c r="E43" s="99"/>
      <c r="F43" s="99"/>
      <c r="G43" s="99"/>
      <c r="H43" s="388"/>
      <c r="I43" s="99"/>
      <c r="J43" s="77"/>
      <c r="K43" s="77"/>
      <c r="L43" s="77"/>
      <c r="M43" s="77"/>
      <c r="N43" s="77"/>
      <c r="O43" s="77"/>
    </row>
    <row r="44" spans="1:15" ht="15" x14ac:dyDescent="0.25">
      <c r="A44" s="99"/>
      <c r="B44" s="99"/>
      <c r="C44" s="99"/>
      <c r="D44" s="99"/>
      <c r="E44" s="99"/>
      <c r="F44" s="99"/>
      <c r="G44" s="99"/>
      <c r="H44" s="388"/>
      <c r="I44" s="99"/>
      <c r="J44" s="77"/>
      <c r="K44" s="77"/>
      <c r="L44" s="77"/>
      <c r="M44" s="77"/>
      <c r="N44" s="77"/>
      <c r="O44" s="77"/>
    </row>
    <row r="45" spans="1:15" ht="15" x14ac:dyDescent="0.25">
      <c r="A45" s="99"/>
      <c r="B45" s="99"/>
      <c r="C45" s="99"/>
      <c r="D45" s="99"/>
      <c r="E45" s="99"/>
      <c r="F45" s="99"/>
      <c r="G45" s="99"/>
      <c r="H45" s="388"/>
      <c r="I45" s="99"/>
      <c r="J45" s="77"/>
      <c r="K45" s="77"/>
      <c r="L45" s="77"/>
      <c r="M45" s="77"/>
      <c r="N45" s="77"/>
      <c r="O45" s="77"/>
    </row>
    <row r="46" spans="1:15" ht="15" customHeight="1" x14ac:dyDescent="0.25">
      <c r="A46" s="99"/>
      <c r="B46" s="99"/>
      <c r="C46" s="99"/>
      <c r="D46" s="99"/>
      <c r="E46" s="99"/>
      <c r="F46" s="99"/>
      <c r="G46" s="99"/>
      <c r="H46" s="388"/>
      <c r="I46" s="99"/>
      <c r="J46" s="77"/>
      <c r="K46" s="77"/>
      <c r="L46" s="77"/>
      <c r="M46" s="77"/>
      <c r="N46" s="77"/>
      <c r="O46" s="77"/>
    </row>
    <row r="47" spans="1:15" ht="15.6" thickBot="1" x14ac:dyDescent="0.3">
      <c r="A47" s="904"/>
      <c r="B47" s="904"/>
      <c r="C47" s="904"/>
      <c r="D47" s="904"/>
      <c r="E47" s="904"/>
      <c r="F47" s="904"/>
      <c r="G47" s="904"/>
      <c r="H47" s="904"/>
      <c r="I47" s="904"/>
      <c r="J47" s="904"/>
      <c r="K47" s="904"/>
      <c r="L47" s="904"/>
      <c r="M47" s="904"/>
      <c r="N47" s="904"/>
      <c r="O47" s="904"/>
    </row>
    <row r="48" spans="1:15" ht="15.6" x14ac:dyDescent="0.3">
      <c r="A48" s="905"/>
      <c r="B48" s="905"/>
      <c r="C48" s="905"/>
      <c r="D48" s="905"/>
      <c r="E48" s="905"/>
      <c r="F48" s="905"/>
      <c r="G48" s="99"/>
      <c r="H48" s="388"/>
      <c r="I48" s="99"/>
      <c r="J48" s="77"/>
      <c r="K48" s="77"/>
      <c r="L48" s="77"/>
      <c r="M48" s="77"/>
      <c r="N48" s="77"/>
      <c r="O48" s="77"/>
    </row>
    <row r="49" spans="1:15" ht="15.6" x14ac:dyDescent="0.3">
      <c r="A49" s="202"/>
      <c r="B49" s="203"/>
      <c r="C49" s="203"/>
      <c r="D49" s="202"/>
      <c r="E49" s="202"/>
      <c r="F49" s="202"/>
      <c r="G49" s="99"/>
      <c r="H49" s="384"/>
      <c r="I49" s="99"/>
      <c r="J49" s="77"/>
      <c r="K49" s="77"/>
      <c r="L49" s="77"/>
      <c r="M49" s="77"/>
      <c r="N49" s="77"/>
      <c r="O49" s="77"/>
    </row>
    <row r="50" spans="1:15" ht="15" x14ac:dyDescent="0.25">
      <c r="A50" s="391"/>
      <c r="B50" s="391"/>
      <c r="C50" s="391"/>
      <c r="D50" s="391"/>
      <c r="E50" s="391"/>
      <c r="F50" s="391"/>
      <c r="G50" s="99"/>
      <c r="H50" s="388"/>
      <c r="I50" s="99"/>
      <c r="J50" s="77"/>
      <c r="K50" s="77"/>
      <c r="L50" s="77"/>
      <c r="M50" s="77"/>
      <c r="N50" s="77"/>
      <c r="O50" s="77"/>
    </row>
    <row r="51" spans="1:15" ht="15" x14ac:dyDescent="0.25">
      <c r="A51" s="395"/>
      <c r="B51" s="392"/>
      <c r="C51" s="392"/>
      <c r="D51" s="392"/>
      <c r="E51" s="392"/>
      <c r="F51" s="205"/>
      <c r="G51" s="99"/>
      <c r="H51" s="388"/>
      <c r="I51" s="99"/>
      <c r="J51" s="77"/>
      <c r="K51" s="77"/>
      <c r="L51" s="77"/>
      <c r="M51" s="77"/>
      <c r="N51" s="77"/>
      <c r="O51" s="77"/>
    </row>
    <row r="52" spans="1:15" ht="15" x14ac:dyDescent="0.25">
      <c r="A52" s="395"/>
      <c r="B52" s="392"/>
      <c r="C52" s="392"/>
      <c r="D52" s="392"/>
      <c r="E52" s="392"/>
      <c r="F52" s="205"/>
      <c r="G52" s="99"/>
      <c r="H52" s="388"/>
      <c r="I52" s="99"/>
      <c r="J52" s="77"/>
      <c r="K52" s="77"/>
      <c r="L52" s="77"/>
      <c r="M52" s="77"/>
      <c r="N52" s="77"/>
      <c r="O52" s="77"/>
    </row>
    <row r="53" spans="1:15" ht="15" x14ac:dyDescent="0.25">
      <c r="A53" s="391"/>
      <c r="B53" s="392"/>
      <c r="C53" s="392"/>
      <c r="D53" s="392"/>
      <c r="E53" s="392"/>
      <c r="F53" s="205"/>
      <c r="G53" s="99"/>
      <c r="H53" s="388"/>
      <c r="I53" s="99"/>
      <c r="J53" s="77"/>
      <c r="K53" s="77"/>
      <c r="L53" s="77"/>
      <c r="M53" s="77"/>
      <c r="N53" s="77"/>
      <c r="O53" s="77"/>
    </row>
    <row r="54" spans="1:15" ht="15" x14ac:dyDescent="0.25">
      <c r="A54" s="395"/>
      <c r="B54" s="392"/>
      <c r="C54" s="392"/>
      <c r="D54" s="392"/>
      <c r="E54" s="392"/>
      <c r="F54" s="205"/>
      <c r="G54" s="99"/>
      <c r="H54" s="388"/>
      <c r="I54" s="99"/>
      <c r="J54" s="77"/>
      <c r="K54" s="77"/>
      <c r="L54" s="77"/>
      <c r="M54" s="77"/>
      <c r="N54" s="77"/>
      <c r="O54" s="77"/>
    </row>
    <row r="55" spans="1:15" ht="15" x14ac:dyDescent="0.25">
      <c r="A55" s="391"/>
      <c r="B55" s="392"/>
      <c r="C55" s="392"/>
      <c r="D55" s="392"/>
      <c r="E55" s="392"/>
      <c r="F55" s="205"/>
      <c r="G55" s="99"/>
      <c r="H55" s="388"/>
      <c r="I55" s="99"/>
      <c r="J55" s="77"/>
      <c r="K55" s="77"/>
      <c r="L55" s="77"/>
      <c r="M55" s="77"/>
      <c r="N55" s="77"/>
      <c r="O55" s="77"/>
    </row>
    <row r="56" spans="1:15" ht="15" x14ac:dyDescent="0.25">
      <c r="A56" s="391"/>
      <c r="B56" s="392"/>
      <c r="C56" s="392"/>
      <c r="D56" s="392"/>
      <c r="E56" s="392"/>
      <c r="F56" s="205"/>
      <c r="G56" s="99"/>
      <c r="H56" s="388"/>
      <c r="I56" s="99"/>
      <c r="J56" s="77"/>
      <c r="K56" s="77"/>
      <c r="L56" s="77"/>
      <c r="M56" s="77"/>
      <c r="N56" s="77"/>
      <c r="O56" s="77"/>
    </row>
    <row r="57" spans="1:15" ht="16.8" x14ac:dyDescent="0.4">
      <c r="A57" s="391"/>
      <c r="B57" s="393"/>
      <c r="C57" s="393"/>
      <c r="D57" s="393"/>
      <c r="E57" s="393"/>
      <c r="F57" s="207"/>
      <c r="G57" s="99"/>
      <c r="H57" s="389"/>
      <c r="I57" s="99"/>
      <c r="J57" s="77"/>
      <c r="K57" s="77"/>
      <c r="L57" s="77"/>
      <c r="M57" s="77"/>
      <c r="N57" s="77"/>
      <c r="O57" s="77"/>
    </row>
    <row r="58" spans="1:15" ht="16.8" x14ac:dyDescent="0.4">
      <c r="A58" s="391"/>
      <c r="B58" s="394"/>
      <c r="C58" s="394"/>
      <c r="D58" s="394"/>
      <c r="E58" s="394"/>
      <c r="F58" s="210"/>
      <c r="G58" s="99"/>
      <c r="H58" s="390"/>
      <c r="I58" s="99"/>
      <c r="J58" s="77"/>
      <c r="K58" s="77"/>
      <c r="L58" s="77"/>
      <c r="M58" s="77"/>
      <c r="N58" s="77"/>
      <c r="O58" s="77"/>
    </row>
    <row r="59" spans="1:15" ht="15" x14ac:dyDescent="0.25">
      <c r="A59" s="391"/>
      <c r="B59" s="391"/>
      <c r="C59" s="391"/>
      <c r="D59" s="391"/>
      <c r="E59" s="391"/>
      <c r="F59" s="391"/>
      <c r="G59" s="99"/>
      <c r="H59" s="388"/>
      <c r="I59" s="99"/>
      <c r="J59" s="77"/>
      <c r="K59" s="77"/>
      <c r="L59" s="77"/>
      <c r="M59" s="77"/>
      <c r="N59" s="77"/>
      <c r="O59" s="77"/>
    </row>
    <row r="60" spans="1:15" ht="15" x14ac:dyDescent="0.25">
      <c r="A60" s="99"/>
      <c r="B60" s="99"/>
      <c r="C60" s="99"/>
      <c r="D60" s="99"/>
      <c r="E60" s="99"/>
      <c r="F60" s="99"/>
      <c r="G60" s="99"/>
      <c r="H60" s="388"/>
      <c r="I60" s="99"/>
      <c r="J60" s="77"/>
      <c r="K60" s="77"/>
      <c r="L60" s="77"/>
      <c r="M60" s="77"/>
      <c r="N60" s="77"/>
      <c r="O60" s="77"/>
    </row>
    <row r="61" spans="1:15" ht="15" x14ac:dyDescent="0.25">
      <c r="A61" s="99"/>
      <c r="B61" s="99"/>
      <c r="C61" s="99"/>
      <c r="D61" s="99"/>
      <c r="E61" s="99"/>
      <c r="F61" s="99"/>
      <c r="G61" s="99"/>
      <c r="H61" s="388"/>
      <c r="I61" s="99"/>
      <c r="J61" s="77"/>
      <c r="K61" s="77"/>
      <c r="L61" s="77"/>
      <c r="M61" s="77"/>
      <c r="N61" s="77"/>
      <c r="O61" s="77"/>
    </row>
    <row r="62" spans="1:15" ht="15" x14ac:dyDescent="0.25">
      <c r="A62" s="99"/>
      <c r="B62" s="99"/>
      <c r="C62" s="99"/>
      <c r="D62" s="99"/>
      <c r="E62" s="99"/>
      <c r="F62" s="99"/>
      <c r="G62" s="99"/>
      <c r="H62" s="388"/>
      <c r="I62" s="99"/>
      <c r="J62" s="77"/>
      <c r="K62" s="77"/>
      <c r="L62" s="77"/>
      <c r="M62" s="77"/>
      <c r="N62" s="77"/>
      <c r="O62" s="77"/>
    </row>
    <row r="63" spans="1:15" ht="15" x14ac:dyDescent="0.25">
      <c r="A63" s="99"/>
      <c r="B63" s="99"/>
      <c r="C63" s="99"/>
      <c r="D63" s="99"/>
      <c r="E63" s="99"/>
      <c r="F63" s="99"/>
      <c r="G63" s="99"/>
      <c r="H63" s="388"/>
      <c r="I63" s="99"/>
      <c r="J63" s="77"/>
      <c r="K63" s="77"/>
      <c r="L63" s="77"/>
      <c r="M63" s="77"/>
      <c r="N63" s="77"/>
      <c r="O63" s="77"/>
    </row>
    <row r="64" spans="1:15" ht="15" x14ac:dyDescent="0.25">
      <c r="A64" s="99"/>
      <c r="B64" s="99"/>
      <c r="C64" s="99"/>
      <c r="D64" s="99"/>
      <c r="E64" s="99"/>
      <c r="F64" s="99"/>
      <c r="G64" s="99"/>
      <c r="H64" s="388"/>
      <c r="I64" s="99"/>
      <c r="J64" s="77"/>
      <c r="K64" s="77"/>
      <c r="L64" s="77"/>
      <c r="M64" s="77"/>
      <c r="N64" s="77"/>
      <c r="O64" s="77"/>
    </row>
    <row r="65" spans="1:15" ht="15" x14ac:dyDescent="0.25">
      <c r="A65" s="99"/>
      <c r="B65" s="99"/>
      <c r="C65" s="99"/>
      <c r="D65" s="99"/>
      <c r="E65" s="99"/>
      <c r="F65" s="99"/>
      <c r="G65" s="99"/>
      <c r="H65" s="388"/>
      <c r="I65" s="99"/>
      <c r="J65" s="77"/>
      <c r="K65" s="77"/>
      <c r="L65" s="77"/>
      <c r="M65" s="77"/>
      <c r="N65" s="77"/>
      <c r="O65" s="77"/>
    </row>
    <row r="66" spans="1:15" ht="15" x14ac:dyDescent="0.25">
      <c r="A66" s="99"/>
      <c r="B66" s="99"/>
      <c r="C66" s="99"/>
      <c r="D66" s="99"/>
      <c r="E66" s="99"/>
      <c r="F66" s="99"/>
      <c r="G66" s="99"/>
      <c r="H66" s="388"/>
      <c r="I66" s="99"/>
      <c r="J66" s="77"/>
      <c r="K66" s="77"/>
      <c r="L66" s="77"/>
      <c r="M66" s="77"/>
      <c r="N66" s="77"/>
      <c r="O66" s="77"/>
    </row>
    <row r="67" spans="1:15" ht="15" x14ac:dyDescent="0.25">
      <c r="A67" s="99"/>
      <c r="B67" s="99"/>
      <c r="C67" s="99"/>
      <c r="D67" s="99"/>
      <c r="E67" s="99"/>
      <c r="F67" s="99"/>
      <c r="G67" s="99"/>
      <c r="H67" s="388"/>
      <c r="I67" s="99"/>
      <c r="J67" s="77"/>
      <c r="K67" s="77"/>
      <c r="L67" s="77"/>
      <c r="M67" s="77"/>
      <c r="N67" s="77"/>
      <c r="O67" s="77"/>
    </row>
    <row r="68" spans="1:15" ht="15" x14ac:dyDescent="0.25">
      <c r="A68" s="99"/>
      <c r="B68" s="99"/>
      <c r="C68" s="99"/>
      <c r="D68" s="99"/>
      <c r="E68" s="99"/>
      <c r="F68" s="99"/>
      <c r="G68" s="99"/>
      <c r="H68" s="388"/>
      <c r="I68" s="99"/>
      <c r="J68" s="77"/>
      <c r="K68" s="77"/>
      <c r="L68" s="77"/>
      <c r="M68" s="77"/>
      <c r="N68" s="77"/>
      <c r="O68" s="77"/>
    </row>
    <row r="69" spans="1:15" ht="15" x14ac:dyDescent="0.25">
      <c r="A69" s="99"/>
      <c r="B69" s="99"/>
      <c r="C69" s="99"/>
      <c r="D69" s="99"/>
      <c r="E69" s="99"/>
      <c r="F69" s="99"/>
      <c r="G69" s="99"/>
      <c r="H69" s="388"/>
      <c r="I69" s="99"/>
      <c r="J69" s="77"/>
      <c r="K69" s="77"/>
      <c r="L69" s="77"/>
      <c r="M69" s="77"/>
      <c r="N69" s="77"/>
      <c r="O69" s="77"/>
    </row>
    <row r="70" spans="1:15" ht="15" x14ac:dyDescent="0.25">
      <c r="A70" s="99"/>
      <c r="B70" s="99"/>
      <c r="C70" s="99"/>
      <c r="D70" s="99"/>
      <c r="E70" s="99"/>
      <c r="F70" s="99"/>
      <c r="G70" s="99"/>
      <c r="H70" s="388"/>
      <c r="I70" s="99"/>
      <c r="J70" s="77"/>
      <c r="K70" s="77"/>
      <c r="L70" s="77"/>
      <c r="M70" s="77"/>
      <c r="N70" s="77"/>
      <c r="O70" s="77"/>
    </row>
    <row r="71" spans="1:15" ht="15" x14ac:dyDescent="0.25">
      <c r="A71" s="99"/>
      <c r="B71" s="99"/>
      <c r="C71" s="99"/>
      <c r="D71" s="99"/>
      <c r="E71" s="99"/>
      <c r="F71" s="99"/>
      <c r="G71" s="99"/>
      <c r="H71" s="388"/>
      <c r="I71" s="99"/>
      <c r="J71" s="77"/>
      <c r="K71" s="77"/>
      <c r="L71" s="77"/>
      <c r="M71" s="77"/>
      <c r="N71" s="77"/>
      <c r="O71" s="77"/>
    </row>
    <row r="72" spans="1:15" ht="15" x14ac:dyDescent="0.25">
      <c r="A72" s="99"/>
      <c r="B72" s="99"/>
      <c r="C72" s="99"/>
      <c r="D72" s="99"/>
      <c r="E72" s="99"/>
      <c r="F72" s="99"/>
      <c r="G72" s="99"/>
      <c r="H72" s="388"/>
      <c r="I72" s="99"/>
      <c r="J72" s="77"/>
      <c r="K72" s="77"/>
      <c r="L72" s="77"/>
      <c r="M72" s="77"/>
      <c r="N72" s="77"/>
      <c r="O72" s="77"/>
    </row>
    <row r="73" spans="1:15" ht="15" x14ac:dyDescent="0.25">
      <c r="A73" s="99"/>
      <c r="B73" s="99"/>
      <c r="C73" s="99"/>
      <c r="D73" s="99"/>
      <c r="E73" s="99"/>
      <c r="F73" s="99"/>
      <c r="G73" s="99"/>
      <c r="H73" s="388"/>
      <c r="I73" s="99"/>
      <c r="J73" s="77"/>
      <c r="K73" s="77"/>
      <c r="L73" s="77"/>
      <c r="M73" s="77"/>
      <c r="N73" s="77"/>
      <c r="O73" s="77"/>
    </row>
    <row r="74" spans="1:15" ht="15" x14ac:dyDescent="0.25">
      <c r="A74" s="99"/>
      <c r="B74" s="99"/>
      <c r="C74" s="99"/>
      <c r="D74" s="99"/>
      <c r="E74" s="99"/>
      <c r="F74" s="99"/>
      <c r="G74" s="99"/>
      <c r="H74" s="388"/>
      <c r="I74" s="99"/>
      <c r="J74" s="77"/>
      <c r="K74" s="77"/>
      <c r="L74" s="77"/>
      <c r="M74" s="77"/>
      <c r="N74" s="77"/>
      <c r="O74" s="77"/>
    </row>
    <row r="75" spans="1:15" ht="15" x14ac:dyDescent="0.25">
      <c r="A75" s="99"/>
      <c r="B75" s="99"/>
      <c r="C75" s="99"/>
      <c r="D75" s="99"/>
      <c r="E75" s="99"/>
      <c r="F75" s="99"/>
      <c r="G75" s="99"/>
      <c r="H75" s="388"/>
      <c r="I75" s="99"/>
      <c r="J75" s="77"/>
      <c r="K75" s="77"/>
      <c r="L75" s="77"/>
      <c r="M75" s="77"/>
      <c r="N75" s="77"/>
      <c r="O75" s="77"/>
    </row>
    <row r="76" spans="1:15" ht="15" x14ac:dyDescent="0.25">
      <c r="A76" s="99"/>
      <c r="B76" s="99"/>
      <c r="C76" s="99"/>
      <c r="D76" s="99"/>
      <c r="E76" s="99"/>
      <c r="F76" s="99"/>
      <c r="G76" s="99"/>
      <c r="H76" s="388"/>
      <c r="I76" s="99"/>
      <c r="J76" s="77"/>
      <c r="K76" s="77"/>
      <c r="L76" s="77"/>
      <c r="M76" s="77"/>
      <c r="N76" s="77"/>
      <c r="O76" s="77"/>
    </row>
    <row r="77" spans="1:15" ht="15" x14ac:dyDescent="0.25">
      <c r="A77" s="99"/>
      <c r="B77" s="99"/>
      <c r="C77" s="99"/>
      <c r="D77" s="99"/>
      <c r="E77" s="99"/>
      <c r="F77" s="99"/>
      <c r="G77" s="99"/>
      <c r="H77" s="388"/>
      <c r="I77" s="99"/>
      <c r="J77" s="77"/>
      <c r="K77" s="77"/>
      <c r="L77" s="77"/>
      <c r="M77" s="77"/>
      <c r="N77" s="77"/>
      <c r="O77" s="77"/>
    </row>
    <row r="78" spans="1:15" ht="15" x14ac:dyDescent="0.25">
      <c r="A78" s="99"/>
      <c r="B78" s="99"/>
      <c r="C78" s="99"/>
      <c r="D78" s="99"/>
      <c r="E78" s="99"/>
      <c r="F78" s="99"/>
      <c r="G78" s="99"/>
      <c r="H78" s="388"/>
      <c r="I78" s="99"/>
      <c r="J78" s="77"/>
      <c r="K78" s="77"/>
      <c r="L78" s="77"/>
      <c r="M78" s="77"/>
      <c r="N78" s="77"/>
      <c r="O78" s="77"/>
    </row>
    <row r="79" spans="1:15" ht="15" x14ac:dyDescent="0.25">
      <c r="A79" s="99"/>
      <c r="B79" s="99"/>
      <c r="C79" s="99"/>
      <c r="D79" s="99"/>
      <c r="E79" s="99"/>
      <c r="F79" s="99"/>
      <c r="G79" s="99"/>
      <c r="H79" s="388"/>
      <c r="I79" s="99"/>
      <c r="J79" s="77"/>
      <c r="K79" s="77"/>
      <c r="L79" s="77"/>
      <c r="M79" s="77"/>
      <c r="N79" s="77"/>
      <c r="O79" s="77"/>
    </row>
    <row r="80" spans="1:15" ht="15" x14ac:dyDescent="0.25">
      <c r="A80" s="99"/>
      <c r="B80" s="99"/>
      <c r="C80" s="99"/>
      <c r="D80" s="99"/>
      <c r="E80" s="99"/>
      <c r="F80" s="99"/>
      <c r="G80" s="99"/>
      <c r="H80" s="388"/>
      <c r="I80" s="99"/>
      <c r="J80" s="77"/>
      <c r="K80" s="77"/>
      <c r="L80" s="77"/>
      <c r="M80" s="77"/>
      <c r="N80" s="77"/>
      <c r="O80" s="77"/>
    </row>
    <row r="81" spans="1:15" ht="15" x14ac:dyDescent="0.25">
      <c r="A81" s="99"/>
      <c r="B81" s="99"/>
      <c r="C81" s="99"/>
      <c r="D81" s="99"/>
      <c r="E81" s="99"/>
      <c r="F81" s="99"/>
      <c r="G81" s="99"/>
      <c r="H81" s="388"/>
      <c r="I81" s="99"/>
      <c r="J81" s="77"/>
      <c r="K81" s="77"/>
      <c r="L81" s="77"/>
      <c r="M81" s="77"/>
      <c r="N81" s="77"/>
      <c r="O81" s="77"/>
    </row>
    <row r="82" spans="1:15" ht="15" x14ac:dyDescent="0.25">
      <c r="A82" s="99"/>
      <c r="B82" s="99"/>
      <c r="C82" s="99"/>
      <c r="D82" s="99"/>
      <c r="E82" s="99"/>
      <c r="F82" s="99"/>
      <c r="G82" s="99"/>
      <c r="H82" s="388"/>
      <c r="I82" s="99"/>
      <c r="J82" s="77"/>
      <c r="K82" s="77"/>
      <c r="L82" s="77"/>
      <c r="M82" s="77"/>
      <c r="N82" s="77"/>
      <c r="O82" s="77"/>
    </row>
    <row r="83" spans="1:15" ht="15" x14ac:dyDescent="0.25">
      <c r="A83" s="99"/>
      <c r="B83" s="99"/>
      <c r="C83" s="99"/>
      <c r="D83" s="99"/>
      <c r="E83" s="99"/>
      <c r="F83" s="99"/>
      <c r="G83" s="99"/>
      <c r="H83" s="388"/>
      <c r="I83" s="99"/>
      <c r="J83" s="77"/>
      <c r="K83" s="77"/>
      <c r="L83" s="77"/>
      <c r="M83" s="77"/>
      <c r="N83" s="77"/>
      <c r="O83" s="77"/>
    </row>
    <row r="84" spans="1:15" ht="15" x14ac:dyDescent="0.25">
      <c r="A84" s="99"/>
      <c r="B84" s="99"/>
      <c r="C84" s="99"/>
      <c r="D84" s="99"/>
      <c r="E84" s="99"/>
      <c r="F84" s="99"/>
      <c r="G84" s="99"/>
      <c r="H84" s="388"/>
      <c r="I84" s="99"/>
      <c r="J84" s="77"/>
      <c r="K84" s="77"/>
      <c r="L84" s="77"/>
      <c r="M84" s="77"/>
      <c r="N84" s="77"/>
      <c r="O84" s="77"/>
    </row>
    <row r="85" spans="1:15" ht="15" x14ac:dyDescent="0.25">
      <c r="A85" s="99"/>
      <c r="B85" s="99"/>
      <c r="C85" s="99"/>
      <c r="D85" s="99"/>
      <c r="E85" s="99"/>
      <c r="F85" s="99"/>
      <c r="G85" s="99"/>
      <c r="H85" s="388"/>
      <c r="I85" s="99"/>
      <c r="J85" s="77"/>
      <c r="K85" s="77"/>
      <c r="L85" s="77"/>
      <c r="M85" s="77"/>
      <c r="N85" s="77"/>
      <c r="O85" s="77"/>
    </row>
    <row r="86" spans="1:15" ht="15" x14ac:dyDescent="0.25">
      <c r="A86" s="99"/>
      <c r="B86" s="99"/>
      <c r="C86" s="99"/>
      <c r="D86" s="99"/>
      <c r="E86" s="99"/>
      <c r="F86" s="99"/>
      <c r="G86" s="99"/>
      <c r="H86" s="388"/>
      <c r="I86" s="99"/>
      <c r="J86" s="77"/>
      <c r="K86" s="77"/>
      <c r="L86" s="77"/>
      <c r="M86" s="77"/>
      <c r="N86" s="77"/>
      <c r="O86" s="77"/>
    </row>
    <row r="87" spans="1:15" ht="15" x14ac:dyDescent="0.25">
      <c r="A87" s="99"/>
      <c r="B87" s="99"/>
      <c r="C87" s="99"/>
      <c r="D87" s="99"/>
      <c r="E87" s="99"/>
      <c r="F87" s="99"/>
      <c r="G87" s="99"/>
      <c r="H87" s="388"/>
      <c r="I87" s="99"/>
      <c r="J87" s="77"/>
      <c r="K87" s="77"/>
      <c r="L87" s="77"/>
      <c r="M87" s="77"/>
      <c r="N87" s="77"/>
      <c r="O87" s="77"/>
    </row>
    <row r="88" spans="1:15" ht="15" x14ac:dyDescent="0.25">
      <c r="A88" s="99"/>
      <c r="B88" s="99"/>
      <c r="C88" s="99"/>
      <c r="D88" s="99"/>
      <c r="E88" s="99"/>
      <c r="F88" s="99"/>
      <c r="G88" s="99"/>
      <c r="H88" s="388"/>
      <c r="I88" s="99"/>
      <c r="J88" s="77"/>
      <c r="K88" s="77"/>
      <c r="L88" s="77"/>
      <c r="M88" s="77"/>
      <c r="N88" s="77"/>
      <c r="O88" s="77"/>
    </row>
    <row r="89" spans="1:15" ht="15" x14ac:dyDescent="0.25">
      <c r="A89" s="99"/>
      <c r="B89" s="99"/>
      <c r="C89" s="99"/>
      <c r="D89" s="99"/>
      <c r="E89" s="99"/>
      <c r="F89" s="99"/>
      <c r="G89" s="99"/>
      <c r="H89" s="388"/>
      <c r="I89" s="99"/>
      <c r="J89" s="77"/>
      <c r="K89" s="77"/>
      <c r="L89" s="77"/>
      <c r="M89" s="77"/>
      <c r="N89" s="77"/>
      <c r="O89" s="77"/>
    </row>
    <row r="90" spans="1:15" ht="15" x14ac:dyDescent="0.25">
      <c r="A90" s="99"/>
      <c r="B90" s="99"/>
      <c r="C90" s="99"/>
      <c r="D90" s="99"/>
      <c r="E90" s="99"/>
      <c r="F90" s="99"/>
      <c r="G90" s="99"/>
      <c r="H90" s="388"/>
      <c r="I90" s="99"/>
      <c r="J90" s="77"/>
      <c r="K90" s="77"/>
      <c r="L90" s="77"/>
      <c r="M90" s="77"/>
      <c r="N90" s="77"/>
      <c r="O90" s="77"/>
    </row>
    <row r="91" spans="1:15" ht="15" x14ac:dyDescent="0.25">
      <c r="A91" s="99"/>
      <c r="B91" s="99"/>
      <c r="C91" s="99"/>
      <c r="D91" s="99"/>
      <c r="E91" s="99"/>
      <c r="F91" s="99"/>
      <c r="G91" s="99"/>
      <c r="H91" s="388"/>
      <c r="I91" s="99"/>
      <c r="J91" s="77"/>
      <c r="K91" s="77"/>
      <c r="L91" s="77"/>
      <c r="M91" s="77"/>
      <c r="N91" s="77"/>
      <c r="O91" s="77"/>
    </row>
    <row r="92" spans="1:15" ht="15" x14ac:dyDescent="0.25">
      <c r="A92" s="99"/>
      <c r="B92" s="99"/>
      <c r="C92" s="99"/>
      <c r="D92" s="99"/>
      <c r="E92" s="99"/>
      <c r="F92" s="99"/>
      <c r="G92" s="99"/>
      <c r="H92" s="388"/>
      <c r="I92" s="99"/>
      <c r="J92" s="77"/>
      <c r="K92" s="77"/>
      <c r="L92" s="77"/>
      <c r="M92" s="77"/>
      <c r="N92" s="77"/>
      <c r="O92" s="77"/>
    </row>
    <row r="93" spans="1:15" ht="15" x14ac:dyDescent="0.25">
      <c r="A93" s="99"/>
      <c r="B93" s="99"/>
      <c r="C93" s="99"/>
      <c r="D93" s="99"/>
      <c r="E93" s="99"/>
      <c r="F93" s="99"/>
      <c r="G93" s="99"/>
      <c r="H93" s="388"/>
      <c r="I93" s="99"/>
      <c r="J93" s="77"/>
      <c r="K93" s="77"/>
      <c r="L93" s="77"/>
      <c r="M93" s="77"/>
      <c r="N93" s="77"/>
      <c r="O93" s="77"/>
    </row>
    <row r="94" spans="1:15" ht="15" x14ac:dyDescent="0.25">
      <c r="A94" s="99"/>
      <c r="B94" s="99"/>
      <c r="C94" s="99"/>
      <c r="D94" s="99"/>
      <c r="E94" s="99"/>
      <c r="F94" s="99"/>
      <c r="G94" s="99"/>
      <c r="H94" s="388"/>
      <c r="I94" s="99"/>
      <c r="J94" s="77"/>
      <c r="K94" s="77"/>
      <c r="L94" s="77"/>
      <c r="M94" s="77"/>
      <c r="N94" s="77"/>
      <c r="O94" s="77"/>
    </row>
    <row r="95" spans="1:15" ht="15" x14ac:dyDescent="0.25">
      <c r="A95" s="99"/>
      <c r="B95" s="99"/>
      <c r="C95" s="99"/>
      <c r="D95" s="99"/>
      <c r="E95" s="99"/>
      <c r="F95" s="99"/>
      <c r="G95" s="99"/>
      <c r="H95" s="388"/>
      <c r="I95" s="99"/>
      <c r="J95" s="77"/>
      <c r="K95" s="77"/>
      <c r="L95" s="77"/>
      <c r="M95" s="77"/>
      <c r="N95" s="77"/>
      <c r="O95" s="77"/>
    </row>
    <row r="96" spans="1:15" ht="15" x14ac:dyDescent="0.25">
      <c r="A96" s="99"/>
      <c r="B96" s="99"/>
      <c r="C96" s="99"/>
      <c r="D96" s="99"/>
      <c r="E96" s="99"/>
      <c r="F96" s="99"/>
      <c r="G96" s="99"/>
      <c r="H96" s="388"/>
      <c r="I96" s="99"/>
      <c r="J96" s="77"/>
      <c r="K96" s="77"/>
      <c r="L96" s="77"/>
      <c r="M96" s="77"/>
      <c r="N96" s="77"/>
      <c r="O96" s="77"/>
    </row>
    <row r="97" spans="1:15" ht="15" x14ac:dyDescent="0.25">
      <c r="A97" s="99"/>
      <c r="B97" s="99"/>
      <c r="C97" s="99"/>
      <c r="D97" s="99"/>
      <c r="E97" s="99"/>
      <c r="F97" s="99"/>
      <c r="G97" s="99"/>
      <c r="H97" s="388"/>
      <c r="I97" s="99"/>
      <c r="J97" s="77"/>
      <c r="K97" s="77"/>
      <c r="L97" s="77"/>
      <c r="M97" s="77"/>
      <c r="N97" s="77"/>
      <c r="O97" s="77"/>
    </row>
    <row r="98" spans="1:15" ht="15" x14ac:dyDescent="0.25">
      <c r="A98" s="99"/>
      <c r="B98" s="99"/>
      <c r="C98" s="99"/>
      <c r="D98" s="99"/>
      <c r="E98" s="99"/>
      <c r="F98" s="99"/>
      <c r="G98" s="99"/>
      <c r="H98" s="388"/>
      <c r="I98" s="99"/>
      <c r="J98" s="77"/>
      <c r="K98" s="77"/>
      <c r="L98" s="77"/>
      <c r="M98" s="77"/>
      <c r="N98" s="77"/>
      <c r="O98" s="77"/>
    </row>
    <row r="99" spans="1:15" ht="15" x14ac:dyDescent="0.25">
      <c r="A99" s="99"/>
      <c r="B99" s="99"/>
      <c r="C99" s="99"/>
      <c r="D99" s="99"/>
      <c r="E99" s="99"/>
      <c r="F99" s="99"/>
      <c r="G99" s="99"/>
      <c r="H99" s="388"/>
      <c r="I99" s="99"/>
      <c r="J99" s="77"/>
      <c r="K99" s="77"/>
      <c r="L99" s="77"/>
      <c r="M99" s="77"/>
      <c r="N99" s="77"/>
      <c r="O99" s="77"/>
    </row>
    <row r="100" spans="1:15" ht="15.6" thickBot="1" x14ac:dyDescent="0.3">
      <c r="A100" s="99"/>
      <c r="B100" s="99"/>
      <c r="C100" s="99"/>
      <c r="D100" s="99"/>
      <c r="E100" s="99"/>
      <c r="F100" s="99"/>
      <c r="G100" s="99"/>
      <c r="H100" s="388"/>
      <c r="I100" s="99"/>
      <c r="J100" s="77"/>
      <c r="K100" s="77"/>
      <c r="L100" s="77"/>
      <c r="M100" s="77"/>
      <c r="N100" s="77"/>
      <c r="O100" s="77"/>
    </row>
    <row r="101" spans="1:15" ht="15" x14ac:dyDescent="0.25">
      <c r="A101" s="894" t="s">
        <v>195</v>
      </c>
      <c r="B101" s="895"/>
      <c r="C101" s="895"/>
      <c r="D101" s="895"/>
      <c r="E101" s="895"/>
      <c r="F101" s="896"/>
      <c r="G101" s="99"/>
      <c r="H101" s="388"/>
      <c r="I101" s="99"/>
      <c r="J101" s="77"/>
      <c r="K101" s="77"/>
      <c r="L101" s="77"/>
      <c r="M101" s="77"/>
      <c r="N101" s="77"/>
      <c r="O101" s="77"/>
    </row>
    <row r="102" spans="1:15" ht="15.6" thickBot="1" x14ac:dyDescent="0.3">
      <c r="A102" s="897"/>
      <c r="B102" s="898"/>
      <c r="C102" s="898"/>
      <c r="D102" s="898"/>
      <c r="E102" s="898"/>
      <c r="F102" s="899"/>
      <c r="G102" s="99"/>
      <c r="H102" s="388"/>
      <c r="I102" s="99"/>
      <c r="J102" s="77"/>
      <c r="K102" s="77"/>
      <c r="L102" s="77"/>
      <c r="M102" s="77"/>
      <c r="N102" s="77"/>
      <c r="O102" s="77"/>
    </row>
    <row r="103" spans="1:15" ht="15" x14ac:dyDescent="0.25">
      <c r="A103" s="162" t="s">
        <v>5</v>
      </c>
      <c r="B103" s="161" t="s">
        <v>6</v>
      </c>
      <c r="C103" s="161" t="s">
        <v>13</v>
      </c>
      <c r="D103" s="161" t="s">
        <v>82</v>
      </c>
      <c r="E103" s="161" t="s">
        <v>115</v>
      </c>
      <c r="F103" s="163" t="s">
        <v>116</v>
      </c>
      <c r="G103" s="99"/>
      <c r="H103" s="388"/>
      <c r="I103" s="99"/>
      <c r="J103" s="77"/>
      <c r="K103" s="77"/>
      <c r="L103" s="77"/>
      <c r="M103" s="77"/>
      <c r="N103" s="77"/>
      <c r="O103" s="77"/>
    </row>
    <row r="104" spans="1:15" ht="15" x14ac:dyDescent="0.25">
      <c r="A104" s="396" t="s">
        <v>239</v>
      </c>
      <c r="B104" s="106"/>
      <c r="C104" s="106"/>
      <c r="D104" s="106"/>
      <c r="E104" s="106"/>
      <c r="F104" s="107"/>
      <c r="G104" s="99"/>
      <c r="H104" s="388"/>
      <c r="I104" s="99"/>
      <c r="J104" s="77"/>
      <c r="K104" s="77"/>
      <c r="L104" s="77"/>
      <c r="M104" s="77"/>
      <c r="N104" s="77"/>
      <c r="O104" s="77"/>
    </row>
    <row r="105" spans="1:15" ht="30" x14ac:dyDescent="0.25">
      <c r="A105" s="396" t="s">
        <v>91</v>
      </c>
      <c r="B105" s="106" t="s">
        <v>190</v>
      </c>
      <c r="C105" s="106" t="s">
        <v>18</v>
      </c>
      <c r="D105" s="106" t="s">
        <v>8</v>
      </c>
      <c r="E105" s="106" t="s">
        <v>36</v>
      </c>
      <c r="F105" s="107" t="s">
        <v>29</v>
      </c>
      <c r="G105" s="99"/>
      <c r="H105" s="388"/>
      <c r="I105" s="99"/>
      <c r="J105" s="77"/>
      <c r="K105" s="77"/>
      <c r="L105" s="77"/>
      <c r="M105" s="77"/>
      <c r="N105" s="77"/>
      <c r="O105" s="77"/>
    </row>
    <row r="106" spans="1:15" ht="30" x14ac:dyDescent="0.25">
      <c r="A106" s="397" t="s">
        <v>27</v>
      </c>
      <c r="B106" s="106" t="s">
        <v>192</v>
      </c>
      <c r="C106" s="106" t="s">
        <v>15</v>
      </c>
      <c r="D106" s="106" t="s">
        <v>84</v>
      </c>
      <c r="E106" s="106" t="s">
        <v>35</v>
      </c>
      <c r="F106" s="107" t="s">
        <v>28</v>
      </c>
      <c r="G106" s="99"/>
      <c r="H106" s="388"/>
      <c r="I106" s="99"/>
      <c r="J106" s="77"/>
      <c r="K106" s="77"/>
      <c r="L106" s="77"/>
      <c r="M106" s="77"/>
      <c r="N106" s="77"/>
      <c r="O106" s="77"/>
    </row>
    <row r="107" spans="1:15" ht="30" x14ac:dyDescent="0.25">
      <c r="A107" s="397" t="s">
        <v>125</v>
      </c>
      <c r="B107" s="106" t="s">
        <v>191</v>
      </c>
      <c r="C107" s="106" t="s">
        <v>16</v>
      </c>
      <c r="D107" s="106"/>
      <c r="E107" s="106" t="s">
        <v>46</v>
      </c>
      <c r="F107" s="107" t="s">
        <v>34</v>
      </c>
      <c r="G107" s="99"/>
      <c r="H107" s="388"/>
      <c r="I107" s="99"/>
      <c r="J107" s="77"/>
      <c r="K107" s="77"/>
      <c r="L107" s="77"/>
      <c r="M107" s="77"/>
      <c r="N107" s="77"/>
      <c r="O107" s="77"/>
    </row>
    <row r="108" spans="1:15" ht="15" x14ac:dyDescent="0.25">
      <c r="A108" s="396" t="s">
        <v>128</v>
      </c>
      <c r="B108" s="106" t="s">
        <v>193</v>
      </c>
      <c r="C108" s="106" t="s">
        <v>20</v>
      </c>
      <c r="D108" s="106"/>
      <c r="E108" s="106" t="s">
        <v>44</v>
      </c>
      <c r="F108" s="107" t="s">
        <v>142</v>
      </c>
      <c r="G108" s="99"/>
      <c r="H108" s="388"/>
      <c r="I108" s="99"/>
      <c r="J108" s="77"/>
      <c r="K108" s="77"/>
      <c r="L108" s="77"/>
      <c r="M108" s="77"/>
      <c r="N108" s="77"/>
      <c r="O108" s="77"/>
    </row>
    <row r="109" spans="1:15" ht="15" x14ac:dyDescent="0.25">
      <c r="A109" s="397" t="s">
        <v>326</v>
      </c>
      <c r="B109" s="106"/>
      <c r="C109" s="106" t="s">
        <v>19</v>
      </c>
      <c r="D109" s="106"/>
      <c r="E109" s="106" t="s">
        <v>37</v>
      </c>
      <c r="F109" s="107" t="s">
        <v>30</v>
      </c>
      <c r="G109" s="99"/>
      <c r="H109" s="388"/>
      <c r="I109" s="99"/>
      <c r="J109" s="77"/>
      <c r="K109" s="77"/>
      <c r="L109" s="77"/>
      <c r="M109" s="77"/>
      <c r="N109" s="77"/>
      <c r="O109" s="77"/>
    </row>
    <row r="110" spans="1:15" ht="30" x14ac:dyDescent="0.25">
      <c r="A110" s="396" t="s">
        <v>308</v>
      </c>
      <c r="B110" s="106"/>
      <c r="C110" s="106" t="s">
        <v>21</v>
      </c>
      <c r="D110" s="106"/>
      <c r="E110" s="106" t="s">
        <v>117</v>
      </c>
      <c r="F110" s="107" t="s">
        <v>121</v>
      </c>
      <c r="G110" s="99"/>
      <c r="H110" s="388"/>
      <c r="I110" s="99"/>
      <c r="J110" s="77"/>
      <c r="K110" s="77"/>
      <c r="L110" s="77"/>
      <c r="M110" s="77"/>
      <c r="N110" s="77"/>
      <c r="O110" s="77"/>
    </row>
    <row r="111" spans="1:15" ht="30" x14ac:dyDescent="0.25">
      <c r="A111" s="396" t="s">
        <v>309</v>
      </c>
      <c r="B111" s="106"/>
      <c r="C111" s="106" t="s">
        <v>14</v>
      </c>
      <c r="D111" s="106"/>
      <c r="E111" s="106" t="s">
        <v>42</v>
      </c>
      <c r="F111" s="107" t="s">
        <v>40</v>
      </c>
      <c r="G111" s="99"/>
      <c r="H111" s="388"/>
      <c r="I111" s="99"/>
      <c r="J111" s="77"/>
      <c r="K111" s="77"/>
      <c r="L111" s="77"/>
      <c r="M111" s="77"/>
      <c r="N111" s="77"/>
      <c r="O111" s="77"/>
    </row>
    <row r="112" spans="1:15" ht="30" x14ac:dyDescent="0.25">
      <c r="A112" s="396" t="s">
        <v>307</v>
      </c>
      <c r="B112" s="106"/>
      <c r="C112" s="106" t="s">
        <v>17</v>
      </c>
      <c r="D112" s="106"/>
      <c r="E112" s="106" t="s">
        <v>38</v>
      </c>
      <c r="F112" s="107" t="s">
        <v>31</v>
      </c>
      <c r="G112" s="99"/>
      <c r="H112" s="388"/>
      <c r="I112" s="99"/>
      <c r="J112" s="77"/>
      <c r="K112" s="77"/>
      <c r="L112" s="77"/>
      <c r="M112" s="77"/>
      <c r="N112" s="77"/>
      <c r="O112" s="77"/>
    </row>
    <row r="113" spans="1:15" ht="15" x14ac:dyDescent="0.25">
      <c r="A113" s="397" t="s">
        <v>4</v>
      </c>
      <c r="B113" s="106"/>
      <c r="C113" s="106"/>
      <c r="D113" s="106"/>
      <c r="E113" s="106" t="s">
        <v>41</v>
      </c>
      <c r="F113" s="107" t="s">
        <v>39</v>
      </c>
      <c r="G113" s="99"/>
      <c r="H113" s="388"/>
      <c r="I113" s="99"/>
      <c r="J113" s="77"/>
      <c r="K113" s="77"/>
      <c r="L113" s="77"/>
      <c r="M113" s="77"/>
      <c r="N113" s="77"/>
      <c r="O113" s="77"/>
    </row>
    <row r="114" spans="1:15" ht="15" x14ac:dyDescent="0.25">
      <c r="A114" s="397" t="s">
        <v>126</v>
      </c>
      <c r="B114" s="106"/>
      <c r="C114" s="106"/>
      <c r="D114" s="106"/>
      <c r="E114" s="106" t="s">
        <v>43</v>
      </c>
      <c r="F114" s="107" t="s">
        <v>120</v>
      </c>
      <c r="G114" s="99"/>
      <c r="H114" s="388"/>
      <c r="I114" s="99"/>
      <c r="J114" s="77"/>
      <c r="K114" s="77"/>
      <c r="L114" s="77"/>
      <c r="M114" s="77"/>
      <c r="N114" s="77"/>
      <c r="O114" s="77"/>
    </row>
    <row r="115" spans="1:15" x14ac:dyDescent="0.25">
      <c r="A115" s="2" t="s">
        <v>238</v>
      </c>
      <c r="B115" s="2"/>
      <c r="C115" s="2"/>
      <c r="D115" s="2"/>
      <c r="E115" s="2" t="s">
        <v>118</v>
      </c>
      <c r="F115" s="2" t="s">
        <v>122</v>
      </c>
      <c r="G115" s="2"/>
      <c r="H115" s="3"/>
      <c r="I115" s="2"/>
    </row>
    <row r="116" spans="1:15" x14ac:dyDescent="0.25">
      <c r="A116" s="2" t="s">
        <v>183</v>
      </c>
      <c r="B116" s="2"/>
      <c r="C116" s="2"/>
      <c r="D116" s="2"/>
      <c r="E116" s="2" t="s">
        <v>45</v>
      </c>
      <c r="F116" s="2" t="s">
        <v>32</v>
      </c>
      <c r="G116" s="2"/>
      <c r="H116" s="3"/>
      <c r="I116" s="2"/>
    </row>
    <row r="117" spans="1:15" ht="15" x14ac:dyDescent="0.25">
      <c r="A117" s="2"/>
      <c r="B117" s="2"/>
      <c r="C117" s="2"/>
      <c r="D117" s="2"/>
      <c r="E117" s="106" t="s">
        <v>142</v>
      </c>
      <c r="F117" s="2"/>
      <c r="G117" s="2"/>
      <c r="H117" s="3"/>
      <c r="I117" s="2"/>
    </row>
    <row r="118" spans="1:15" x14ac:dyDescent="0.25">
      <c r="A118" s="2"/>
      <c r="B118" s="2"/>
      <c r="C118" s="2"/>
      <c r="D118" s="2"/>
      <c r="E118" s="2"/>
      <c r="F118" s="2"/>
      <c r="G118" s="2"/>
      <c r="H118" s="3"/>
      <c r="I118" s="2"/>
    </row>
    <row r="119" spans="1:15" x14ac:dyDescent="0.25">
      <c r="A119" s="2"/>
      <c r="B119" s="2"/>
      <c r="C119" s="2"/>
      <c r="D119" s="2"/>
      <c r="E119" s="2"/>
      <c r="F119" s="2"/>
      <c r="G119" s="2"/>
      <c r="H119" s="3"/>
      <c r="I119" s="2"/>
    </row>
    <row r="120" spans="1:15" x14ac:dyDescent="0.25">
      <c r="A120" s="2"/>
      <c r="B120" s="2"/>
      <c r="C120" s="2"/>
      <c r="D120" s="2"/>
      <c r="E120" s="2"/>
      <c r="F120" s="2"/>
      <c r="G120" s="2"/>
      <c r="H120" s="3"/>
      <c r="I120" s="2"/>
    </row>
    <row r="121" spans="1:15" x14ac:dyDescent="0.25">
      <c r="A121" s="2"/>
      <c r="B121" s="2"/>
      <c r="C121" s="2"/>
      <c r="D121" s="2"/>
      <c r="E121" s="2"/>
      <c r="F121" s="2"/>
      <c r="G121" s="2"/>
      <c r="H121" s="3"/>
      <c r="I121" s="2"/>
    </row>
    <row r="122" spans="1:15" x14ac:dyDescent="0.25">
      <c r="A122" s="2"/>
      <c r="B122" s="2"/>
      <c r="C122" s="2"/>
      <c r="D122" s="2"/>
      <c r="E122" s="2"/>
      <c r="F122" s="2"/>
      <c r="G122" s="2"/>
      <c r="H122" s="3"/>
      <c r="I122" s="2"/>
    </row>
    <row r="123" spans="1:15" x14ac:dyDescent="0.25">
      <c r="A123" s="2"/>
      <c r="B123" s="2"/>
      <c r="C123" s="2"/>
      <c r="D123" s="2"/>
      <c r="E123" s="2"/>
      <c r="F123" s="2"/>
      <c r="G123" s="2"/>
      <c r="H123" s="3"/>
      <c r="I123" s="2"/>
    </row>
    <row r="124" spans="1:15" x14ac:dyDescent="0.25">
      <c r="A124" s="2"/>
      <c r="B124" s="2"/>
      <c r="C124" s="2"/>
      <c r="D124" s="2"/>
      <c r="E124" s="2"/>
      <c r="F124" s="2"/>
      <c r="G124" s="2"/>
      <c r="H124" s="3"/>
      <c r="I124" s="2"/>
    </row>
    <row r="125" spans="1:15" x14ac:dyDescent="0.25">
      <c r="A125" s="2"/>
      <c r="B125" s="2"/>
      <c r="C125" s="2"/>
      <c r="D125" s="2"/>
      <c r="E125" s="2"/>
      <c r="F125" s="2"/>
      <c r="G125" s="2"/>
      <c r="H125" s="3"/>
      <c r="I125" s="2"/>
    </row>
    <row r="126" spans="1:15" x14ac:dyDescent="0.25">
      <c r="A126" s="2"/>
      <c r="B126" s="2"/>
      <c r="C126" s="2"/>
      <c r="D126" s="2"/>
      <c r="E126" s="2"/>
      <c r="F126" s="2"/>
      <c r="G126" s="2"/>
      <c r="H126" s="3"/>
      <c r="I126" s="2"/>
    </row>
    <row r="127" spans="1:15" x14ac:dyDescent="0.25">
      <c r="A127" s="2"/>
      <c r="B127" s="2"/>
      <c r="C127" s="2"/>
      <c r="D127" s="2"/>
      <c r="E127" s="2"/>
      <c r="F127" s="2"/>
      <c r="G127" s="2"/>
      <c r="H127" s="3"/>
      <c r="I127" s="2"/>
    </row>
    <row r="128" spans="1:15" x14ac:dyDescent="0.25">
      <c r="A128" s="2"/>
      <c r="B128" s="2"/>
      <c r="C128" s="2"/>
      <c r="D128" s="2"/>
      <c r="E128" s="2"/>
      <c r="F128" s="2"/>
      <c r="G128" s="2"/>
      <c r="H128" s="3"/>
      <c r="I128" s="2"/>
    </row>
    <row r="129" spans="1:9" x14ac:dyDescent="0.25">
      <c r="A129" s="2"/>
      <c r="B129" s="2"/>
      <c r="C129" s="2"/>
      <c r="D129" s="2"/>
      <c r="E129" s="2"/>
      <c r="F129" s="2"/>
      <c r="G129" s="2"/>
      <c r="H129" s="3"/>
      <c r="I129" s="2"/>
    </row>
    <row r="130" spans="1:9" x14ac:dyDescent="0.25">
      <c r="A130" s="2"/>
      <c r="B130" s="2"/>
      <c r="C130" s="2"/>
      <c r="D130" s="2"/>
      <c r="E130" s="2"/>
      <c r="F130" s="2"/>
      <c r="G130" s="2"/>
      <c r="H130" s="3"/>
      <c r="I130" s="2"/>
    </row>
    <row r="131" spans="1:9" x14ac:dyDescent="0.25">
      <c r="A131" s="2"/>
      <c r="B131" s="2"/>
      <c r="C131" s="2"/>
      <c r="D131" s="2"/>
      <c r="E131" s="2"/>
      <c r="F131" s="2"/>
      <c r="G131" s="2"/>
      <c r="H131" s="3"/>
      <c r="I131" s="2"/>
    </row>
    <row r="132" spans="1:9" x14ac:dyDescent="0.25">
      <c r="A132" s="2"/>
      <c r="B132" s="2"/>
      <c r="C132" s="2"/>
      <c r="D132" s="2"/>
      <c r="E132" s="2"/>
      <c r="F132" s="2"/>
      <c r="G132" s="2"/>
      <c r="H132" s="3"/>
      <c r="I132" s="2"/>
    </row>
    <row r="133" spans="1:9" x14ac:dyDescent="0.25">
      <c r="A133" s="2"/>
      <c r="B133" s="2"/>
      <c r="C133" s="2"/>
      <c r="D133" s="2"/>
      <c r="E133" s="2"/>
      <c r="F133" s="2"/>
      <c r="G133" s="2"/>
      <c r="H133" s="3"/>
      <c r="I133" s="2"/>
    </row>
    <row r="134" spans="1:9" x14ac:dyDescent="0.25">
      <c r="A134" s="2"/>
      <c r="B134" s="2"/>
      <c r="C134" s="2"/>
      <c r="D134" s="2"/>
      <c r="E134" s="2"/>
      <c r="F134" s="2"/>
      <c r="G134" s="2"/>
      <c r="H134" s="3"/>
      <c r="I134" s="2"/>
    </row>
    <row r="135" spans="1:9" x14ac:dyDescent="0.25">
      <c r="A135" s="2"/>
      <c r="B135" s="2"/>
      <c r="C135" s="2"/>
      <c r="D135" s="2"/>
      <c r="E135" s="2"/>
      <c r="F135" s="2"/>
      <c r="G135" s="2"/>
      <c r="H135" s="3"/>
      <c r="I135" s="2"/>
    </row>
  </sheetData>
  <sortState xmlns:xlrd2="http://schemas.microsoft.com/office/spreadsheetml/2017/richdata2" ref="A23:I32">
    <sortCondition ref="D21"/>
  </sortState>
  <mergeCells count="7">
    <mergeCell ref="A101:F102"/>
    <mergeCell ref="A1:O1"/>
    <mergeCell ref="A3:O3"/>
    <mergeCell ref="A11:O11"/>
    <mergeCell ref="A35:O35"/>
    <mergeCell ref="A47:O47"/>
    <mergeCell ref="A48:F48"/>
  </mergeCells>
  <dataValidations count="8">
    <dataValidation type="list" allowBlank="1" showInputMessage="1" showErrorMessage="1" sqref="E40 C39:D46" xr:uid="{00000000-0002-0000-1900-000000000000}">
      <formula1>#REF!</formula1>
    </dataValidation>
    <dataValidation type="list" allowBlank="1" showInputMessage="1" showErrorMessage="1" sqref="C14:D17 C5:D10 C37:D37 D21:D31 C21:C27" xr:uid="{00000000-0002-0000-1900-000001000000}">
      <formula1>$A$110:$A$122</formula1>
    </dataValidation>
    <dataValidation type="list" allowBlank="1" showInputMessage="1" showErrorMessage="1" sqref="E5:E10 E14:E17 E37 E21:E31" xr:uid="{00000000-0002-0000-1900-000002000000}">
      <formula1>$F$110:$F$124</formula1>
    </dataValidation>
    <dataValidation type="list" allowBlank="1" showInputMessage="1" showErrorMessage="1" sqref="B5:B10 B37 B14:B17 B21:B31" xr:uid="{00000000-0002-0000-1900-000003000000}">
      <formula1>$B$110:$B$114</formula1>
    </dataValidation>
    <dataValidation type="list" allowBlank="1" showInputMessage="1" showErrorMessage="1" sqref="A5:A10 A37 A26:A31 A14:A17 A21:A24" xr:uid="{00000000-0002-0000-1900-000004000000}">
      <formula1>$D$110:$D$112</formula1>
    </dataValidation>
    <dataValidation type="list" allowBlank="1" showInputMessage="1" showErrorMessage="1" sqref="G5:G10 G21:G31 G37 G14:G17" xr:uid="{00000000-0002-0000-1900-000005000000}">
      <formula1>$C$110:$C$118</formula1>
    </dataValidation>
    <dataValidation type="list" allowBlank="1" showInputMessage="1" showErrorMessage="1" sqref="F5:F10 F21:F31 F37 F14:F17" xr:uid="{00000000-0002-0000-1900-000006000000}">
      <formula1>$E$110:$E$124</formula1>
    </dataValidation>
    <dataValidation type="list" allowBlank="1" showInputMessage="1" showErrorMessage="1" sqref="C28:C31" xr:uid="{00000000-0002-0000-1900-000007000000}">
      <formula1>$A$105:$A$122</formula1>
    </dataValidation>
  </dataValidation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6">
    <tabColor rgb="FFFF0000"/>
  </sheetPr>
  <dimension ref="A1:EA135"/>
  <sheetViews>
    <sheetView topLeftCell="F1" zoomScale="60" zoomScaleNormal="60" workbookViewId="0">
      <selection activeCell="K6" sqref="K6"/>
    </sheetView>
  </sheetViews>
  <sheetFormatPr defaultColWidth="8.77734375" defaultRowHeight="13.2" x14ac:dyDescent="0.25"/>
  <cols>
    <col min="1" max="7" width="26.44140625" customWidth="1"/>
    <col min="8" max="8" width="26.44140625" style="387" customWidth="1"/>
    <col min="9" max="15" width="26.44140625" customWidth="1"/>
  </cols>
  <sheetData>
    <row r="1" spans="1:131" ht="18" thickBot="1" x14ac:dyDescent="0.3">
      <c r="A1" s="900" t="s">
        <v>310</v>
      </c>
      <c r="B1" s="900"/>
      <c r="C1" s="900"/>
      <c r="D1" s="900"/>
      <c r="E1" s="900"/>
      <c r="F1" s="900"/>
      <c r="G1" s="900"/>
      <c r="H1" s="900"/>
      <c r="I1" s="900"/>
      <c r="J1" s="900"/>
      <c r="K1" s="900"/>
      <c r="L1" s="900"/>
      <c r="M1" s="900"/>
      <c r="N1" s="900"/>
      <c r="O1" s="900"/>
    </row>
    <row r="2" spans="1:131" ht="17.399999999999999" x14ac:dyDescent="0.25">
      <c r="A2" s="440" t="s">
        <v>188</v>
      </c>
      <c r="B2" s="175"/>
      <c r="C2" s="440"/>
      <c r="D2" s="440"/>
      <c r="E2" s="440"/>
      <c r="F2" s="440"/>
      <c r="G2" s="440"/>
      <c r="H2" s="381"/>
      <c r="I2" s="440"/>
      <c r="J2" s="399"/>
      <c r="K2" s="399"/>
      <c r="L2" s="399"/>
      <c r="M2" s="399"/>
      <c r="N2" s="399"/>
      <c r="O2" s="399"/>
    </row>
    <row r="3" spans="1:131" ht="15" x14ac:dyDescent="0.25">
      <c r="A3" s="901" t="s">
        <v>204</v>
      </c>
      <c r="B3" s="902"/>
      <c r="C3" s="902"/>
      <c r="D3" s="902"/>
      <c r="E3" s="902"/>
      <c r="F3" s="902"/>
      <c r="G3" s="902"/>
      <c r="H3" s="902"/>
      <c r="I3" s="902"/>
      <c r="J3" s="902"/>
      <c r="K3" s="902"/>
      <c r="L3" s="902"/>
      <c r="M3" s="902"/>
      <c r="N3" s="902"/>
      <c r="O3" s="903"/>
    </row>
    <row r="4" spans="1:131" ht="60" x14ac:dyDescent="0.25">
      <c r="A4" s="176" t="s">
        <v>89</v>
      </c>
      <c r="B4" s="176" t="s">
        <v>90</v>
      </c>
      <c r="C4" s="177" t="s">
        <v>0</v>
      </c>
      <c r="D4" s="177" t="s">
        <v>124</v>
      </c>
      <c r="E4" s="176" t="s">
        <v>143</v>
      </c>
      <c r="F4" s="176" t="s">
        <v>144</v>
      </c>
      <c r="G4" s="176" t="s">
        <v>13</v>
      </c>
      <c r="H4" s="382" t="s">
        <v>88</v>
      </c>
      <c r="I4" s="176" t="s">
        <v>12</v>
      </c>
      <c r="J4" s="400" t="s">
        <v>158</v>
      </c>
      <c r="K4" s="400" t="s">
        <v>148</v>
      </c>
      <c r="L4" s="400" t="s">
        <v>180</v>
      </c>
      <c r="M4" s="400" t="s">
        <v>104</v>
      </c>
      <c r="N4" s="400" t="s">
        <v>179</v>
      </c>
      <c r="O4" s="400" t="s">
        <v>205</v>
      </c>
    </row>
    <row r="5" spans="1:131" ht="30" x14ac:dyDescent="0.25">
      <c r="A5" s="322" t="s">
        <v>84</v>
      </c>
      <c r="B5" s="322" t="s">
        <v>3</v>
      </c>
      <c r="C5" s="322" t="s">
        <v>307</v>
      </c>
      <c r="D5" s="322" t="s">
        <v>307</v>
      </c>
      <c r="E5" s="327" t="s">
        <v>120</v>
      </c>
      <c r="F5" s="457" t="s">
        <v>44</v>
      </c>
      <c r="G5" s="322" t="s">
        <v>14</v>
      </c>
      <c r="H5" s="85">
        <v>44423</v>
      </c>
      <c r="I5" s="322" t="s">
        <v>23</v>
      </c>
      <c r="J5" s="350">
        <v>143.66999999999999</v>
      </c>
      <c r="K5" s="296">
        <f>'Nov12'!K5</f>
        <v>118.16</v>
      </c>
      <c r="L5" s="350">
        <f t="shared" ref="L5:L8" si="0">N5-M5</f>
        <v>17.964062440000003</v>
      </c>
      <c r="M5" s="350">
        <f t="shared" ref="M5:N8" si="1">-DZ5/1000000</f>
        <v>1.6064408600000002</v>
      </c>
      <c r="N5" s="350">
        <f t="shared" si="1"/>
        <v>19.570503300000002</v>
      </c>
      <c r="O5" s="88"/>
      <c r="DZ5">
        <v>-1606440.86</v>
      </c>
      <c r="EA5">
        <v>-19570503.300000001</v>
      </c>
    </row>
    <row r="6" spans="1:131" ht="30" x14ac:dyDescent="0.25">
      <c r="A6" s="328" t="s">
        <v>84</v>
      </c>
      <c r="B6" s="328" t="s">
        <v>3</v>
      </c>
      <c r="C6" s="328" t="s">
        <v>307</v>
      </c>
      <c r="D6" s="328" t="s">
        <v>307</v>
      </c>
      <c r="E6" s="329" t="s">
        <v>120</v>
      </c>
      <c r="F6" s="458" t="s">
        <v>44</v>
      </c>
      <c r="G6" s="328" t="s">
        <v>14</v>
      </c>
      <c r="H6" s="93">
        <v>44576</v>
      </c>
      <c r="I6" s="328" t="s">
        <v>24</v>
      </c>
      <c r="J6" s="351">
        <v>27.4</v>
      </c>
      <c r="K6" s="295">
        <f>'Nov12'!K6</f>
        <v>26.9575</v>
      </c>
      <c r="L6" s="351">
        <f t="shared" si="0"/>
        <v>4.5913236400000006</v>
      </c>
      <c r="M6" s="351">
        <f t="shared" si="1"/>
        <v>7.6808509999999997E-2</v>
      </c>
      <c r="N6" s="351">
        <f t="shared" si="1"/>
        <v>4.6681321500000008</v>
      </c>
      <c r="O6" s="96"/>
      <c r="DZ6">
        <v>-76808.509999999995</v>
      </c>
      <c r="EA6">
        <v>-4668132.1500000004</v>
      </c>
    </row>
    <row r="7" spans="1:131" ht="30" x14ac:dyDescent="0.25">
      <c r="A7" s="322" t="s">
        <v>84</v>
      </c>
      <c r="B7" s="322" t="s">
        <v>3</v>
      </c>
      <c r="C7" s="322" t="s">
        <v>308</v>
      </c>
      <c r="D7" s="322" t="s">
        <v>308</v>
      </c>
      <c r="E7" s="327" t="s">
        <v>39</v>
      </c>
      <c r="F7" s="457" t="s">
        <v>38</v>
      </c>
      <c r="G7" s="322" t="s">
        <v>14</v>
      </c>
      <c r="H7" s="85">
        <v>44576</v>
      </c>
      <c r="I7" s="322" t="s">
        <v>24</v>
      </c>
      <c r="J7" s="350">
        <v>26.85</v>
      </c>
      <c r="K7" s="296">
        <f>'Nov12'!K7</f>
        <v>26.47</v>
      </c>
      <c r="L7" s="350">
        <f t="shared" si="0"/>
        <v>4.5011815100000003</v>
      </c>
      <c r="M7" s="350">
        <f t="shared" si="1"/>
        <v>7.5426640000000003E-2</v>
      </c>
      <c r="N7" s="350">
        <f t="shared" si="1"/>
        <v>4.5766081500000002</v>
      </c>
      <c r="O7" s="88"/>
      <c r="DZ7">
        <v>-75426.64</v>
      </c>
      <c r="EA7">
        <v>-4576608.1500000004</v>
      </c>
    </row>
    <row r="8" spans="1:131" ht="30" x14ac:dyDescent="0.25">
      <c r="A8" s="328" t="s">
        <v>84</v>
      </c>
      <c r="B8" s="328" t="s">
        <v>3</v>
      </c>
      <c r="C8" s="328" t="s">
        <v>309</v>
      </c>
      <c r="D8" s="328" t="s">
        <v>125</v>
      </c>
      <c r="E8" s="329" t="s">
        <v>39</v>
      </c>
      <c r="F8" s="458" t="s">
        <v>42</v>
      </c>
      <c r="G8" s="328" t="s">
        <v>14</v>
      </c>
      <c r="H8" s="93">
        <v>46296</v>
      </c>
      <c r="I8" s="328" t="s">
        <v>25</v>
      </c>
      <c r="J8" s="351">
        <v>40.880000000000003</v>
      </c>
      <c r="K8" s="295">
        <f>'Nov12'!K8</f>
        <v>37.659999999999997</v>
      </c>
      <c r="L8" s="351">
        <f t="shared" si="0"/>
        <v>6.7460253699999999</v>
      </c>
      <c r="M8" s="351">
        <f t="shared" si="1"/>
        <v>7.1018609999999996E-2</v>
      </c>
      <c r="N8" s="351">
        <f t="shared" si="1"/>
        <v>6.8170439800000002</v>
      </c>
      <c r="O8" s="96"/>
      <c r="DZ8">
        <v>-71018.61</v>
      </c>
      <c r="EA8">
        <v>-6817043.9800000004</v>
      </c>
    </row>
    <row r="9" spans="1:131" ht="15" x14ac:dyDescent="0.25">
      <c r="A9" s="111"/>
      <c r="B9" s="111"/>
      <c r="C9" s="111"/>
      <c r="D9" s="111"/>
      <c r="E9" s="123"/>
      <c r="F9" s="111"/>
      <c r="G9" s="111"/>
      <c r="H9" s="114"/>
      <c r="I9" s="111"/>
      <c r="J9" s="352"/>
      <c r="K9" s="352"/>
      <c r="L9" s="352"/>
      <c r="M9" s="352"/>
      <c r="N9" s="353"/>
      <c r="O9" s="353"/>
    </row>
    <row r="10" spans="1:131" ht="15" x14ac:dyDescent="0.25">
      <c r="A10" s="328"/>
      <c r="B10" s="328"/>
      <c r="C10" s="328"/>
      <c r="D10" s="328"/>
      <c r="E10" s="329"/>
      <c r="F10" s="328"/>
      <c r="G10" s="328"/>
      <c r="H10" s="93"/>
      <c r="I10" s="328"/>
      <c r="J10" s="351"/>
      <c r="K10" s="351"/>
      <c r="L10" s="351"/>
      <c r="M10" s="351"/>
      <c r="N10" s="96"/>
      <c r="O10" s="96"/>
    </row>
    <row r="11" spans="1:131" ht="15" x14ac:dyDescent="0.25">
      <c r="A11" s="901" t="s">
        <v>203</v>
      </c>
      <c r="B11" s="902"/>
      <c r="C11" s="902"/>
      <c r="D11" s="902"/>
      <c r="E11" s="902"/>
      <c r="F11" s="902"/>
      <c r="G11" s="902"/>
      <c r="H11" s="902"/>
      <c r="I11" s="902"/>
      <c r="J11" s="902"/>
      <c r="K11" s="902"/>
      <c r="L11" s="902"/>
      <c r="M11" s="902"/>
      <c r="N11" s="902"/>
      <c r="O11" s="903"/>
    </row>
    <row r="12" spans="1:131" ht="60" x14ac:dyDescent="0.25">
      <c r="A12" s="176" t="s">
        <v>89</v>
      </c>
      <c r="B12" s="176" t="s">
        <v>90</v>
      </c>
      <c r="C12" s="177" t="s">
        <v>0</v>
      </c>
      <c r="D12" s="180" t="s">
        <v>124</v>
      </c>
      <c r="E12" s="176" t="s">
        <v>143</v>
      </c>
      <c r="F12" s="176" t="s">
        <v>144</v>
      </c>
      <c r="G12" s="176" t="s">
        <v>13</v>
      </c>
      <c r="H12" s="382" t="s">
        <v>88</v>
      </c>
      <c r="I12" s="176" t="s">
        <v>12</v>
      </c>
      <c r="J12" s="400" t="s">
        <v>150</v>
      </c>
      <c r="K12" s="400" t="s">
        <v>151</v>
      </c>
      <c r="L12" s="400" t="s">
        <v>157</v>
      </c>
      <c r="M12" s="400" t="s">
        <v>149</v>
      </c>
      <c r="N12" s="400" t="s">
        <v>179</v>
      </c>
      <c r="O12" s="400" t="s">
        <v>205</v>
      </c>
    </row>
    <row r="13" spans="1:131" ht="15" x14ac:dyDescent="0.25">
      <c r="A13" s="184" t="s">
        <v>197</v>
      </c>
      <c r="B13" s="184"/>
      <c r="C13" s="185"/>
      <c r="D13" s="185"/>
      <c r="E13" s="184"/>
      <c r="F13" s="184"/>
      <c r="G13" s="184"/>
      <c r="H13" s="383"/>
      <c r="I13" s="184"/>
      <c r="J13" s="403"/>
      <c r="K13" s="403"/>
      <c r="L13" s="403"/>
      <c r="M13" s="403"/>
      <c r="N13" s="403"/>
      <c r="O13" s="404"/>
    </row>
    <row r="14" spans="1:131" ht="30" x14ac:dyDescent="0.25">
      <c r="A14" s="328" t="s">
        <v>8</v>
      </c>
      <c r="B14" s="328" t="s">
        <v>7</v>
      </c>
      <c r="C14" s="328" t="s">
        <v>239</v>
      </c>
      <c r="D14" s="328" t="s">
        <v>238</v>
      </c>
      <c r="E14" s="329" t="s">
        <v>32</v>
      </c>
      <c r="F14" s="328" t="s">
        <v>45</v>
      </c>
      <c r="G14" s="328" t="s">
        <v>22</v>
      </c>
      <c r="H14" s="93">
        <v>41455</v>
      </c>
      <c r="I14" s="328" t="s">
        <v>131</v>
      </c>
      <c r="J14" s="96">
        <v>26.62</v>
      </c>
      <c r="K14" s="96">
        <v>-13.16</v>
      </c>
      <c r="L14" s="96">
        <v>13.46</v>
      </c>
      <c r="M14" s="96"/>
      <c r="N14" s="96"/>
      <c r="O14" s="96"/>
    </row>
    <row r="15" spans="1:131" ht="30" x14ac:dyDescent="0.25">
      <c r="A15" s="322" t="s">
        <v>8</v>
      </c>
      <c r="B15" s="322" t="s">
        <v>193</v>
      </c>
      <c r="C15" s="322" t="s">
        <v>239</v>
      </c>
      <c r="D15" s="322" t="s">
        <v>238</v>
      </c>
      <c r="E15" s="327" t="s">
        <v>32</v>
      </c>
      <c r="F15" s="327" t="s">
        <v>45</v>
      </c>
      <c r="G15" s="322" t="s">
        <v>22</v>
      </c>
      <c r="H15" s="85">
        <v>41820</v>
      </c>
      <c r="I15" s="322" t="s">
        <v>132</v>
      </c>
      <c r="J15" s="88">
        <v>17.329999999999998</v>
      </c>
      <c r="K15" s="88"/>
      <c r="L15" s="88">
        <v>17.329999999999998</v>
      </c>
      <c r="M15" s="88"/>
      <c r="N15" s="88"/>
      <c r="O15" s="88"/>
    </row>
    <row r="16" spans="1:131" ht="30" x14ac:dyDescent="0.25">
      <c r="A16" s="328" t="s">
        <v>8</v>
      </c>
      <c r="B16" s="328" t="s">
        <v>193</v>
      </c>
      <c r="C16" s="328" t="s">
        <v>239</v>
      </c>
      <c r="D16" s="328" t="s">
        <v>238</v>
      </c>
      <c r="E16" s="328" t="s">
        <v>32</v>
      </c>
      <c r="F16" s="328" t="s">
        <v>45</v>
      </c>
      <c r="G16" s="328" t="s">
        <v>22</v>
      </c>
      <c r="H16" s="385">
        <v>42185</v>
      </c>
      <c r="I16" s="328" t="s">
        <v>133</v>
      </c>
      <c r="J16" s="379">
        <v>12.72</v>
      </c>
      <c r="K16" s="379"/>
      <c r="L16" s="379">
        <v>12.72</v>
      </c>
      <c r="M16" s="379"/>
      <c r="N16" s="379"/>
      <c r="O16" s="379"/>
    </row>
    <row r="17" spans="1:15" ht="30" x14ac:dyDescent="0.25">
      <c r="A17" s="322" t="s">
        <v>8</v>
      </c>
      <c r="B17" s="322" t="s">
        <v>193</v>
      </c>
      <c r="C17" s="322" t="s">
        <v>239</v>
      </c>
      <c r="D17" s="322" t="s">
        <v>238</v>
      </c>
      <c r="E17" s="322" t="s">
        <v>32</v>
      </c>
      <c r="F17" s="322" t="s">
        <v>45</v>
      </c>
      <c r="G17" s="322" t="s">
        <v>22</v>
      </c>
      <c r="H17" s="386">
        <v>42551</v>
      </c>
      <c r="I17" s="322" t="s">
        <v>300</v>
      </c>
      <c r="J17" s="380">
        <v>0.26</v>
      </c>
      <c r="K17" s="380"/>
      <c r="L17" s="380">
        <v>0.26</v>
      </c>
      <c r="M17" s="380"/>
      <c r="N17" s="380"/>
      <c r="O17" s="380"/>
    </row>
    <row r="18" spans="1:15" ht="15" x14ac:dyDescent="0.25">
      <c r="A18" s="328"/>
      <c r="B18" s="328"/>
      <c r="C18" s="328"/>
      <c r="D18" s="328"/>
      <c r="E18" s="328"/>
      <c r="F18" s="328"/>
      <c r="G18" s="328"/>
      <c r="H18" s="385" t="s">
        <v>206</v>
      </c>
      <c r="I18" s="328"/>
      <c r="J18" s="379">
        <v>56.93</v>
      </c>
      <c r="K18" s="379">
        <v>-13.16</v>
      </c>
      <c r="L18" s="379">
        <v>43.769999999999996</v>
      </c>
      <c r="M18" s="379">
        <v>35.398873999999992</v>
      </c>
      <c r="N18" s="379">
        <v>8.3711260000000003</v>
      </c>
      <c r="O18" s="379">
        <v>35</v>
      </c>
    </row>
    <row r="19" spans="1:15" ht="15" x14ac:dyDescent="0.25">
      <c r="A19" s="181" t="s">
        <v>295</v>
      </c>
      <c r="B19" s="181"/>
      <c r="C19" s="181"/>
      <c r="D19" s="181"/>
      <c r="E19" s="182"/>
      <c r="F19" s="181"/>
      <c r="G19" s="181"/>
      <c r="H19" s="183"/>
      <c r="I19" s="181"/>
      <c r="J19" s="354"/>
      <c r="K19" s="354"/>
      <c r="L19" s="354"/>
      <c r="M19" s="354"/>
      <c r="N19" s="354"/>
      <c r="O19" s="354"/>
    </row>
    <row r="20" spans="1:15" ht="15" x14ac:dyDescent="0.25">
      <c r="A20" s="181"/>
      <c r="B20" s="181"/>
      <c r="C20" s="181"/>
      <c r="D20" s="181"/>
      <c r="E20" s="182"/>
      <c r="F20" s="181"/>
      <c r="G20" s="181"/>
      <c r="H20" s="183"/>
      <c r="I20" s="181"/>
      <c r="J20" s="354"/>
      <c r="K20" s="354"/>
      <c r="L20" s="354"/>
      <c r="M20" s="354"/>
      <c r="N20" s="354"/>
      <c r="O20" s="354"/>
    </row>
    <row r="21" spans="1:15" ht="15" x14ac:dyDescent="0.25">
      <c r="A21" s="184" t="s">
        <v>198</v>
      </c>
      <c r="B21" s="184"/>
      <c r="C21" s="185"/>
      <c r="D21" s="185"/>
      <c r="E21" s="184"/>
      <c r="F21" s="184"/>
      <c r="G21" s="184"/>
      <c r="H21" s="383"/>
      <c r="I21" s="184"/>
      <c r="J21" s="459"/>
      <c r="K21" s="459"/>
      <c r="L21" s="459"/>
      <c r="M21" s="459"/>
      <c r="N21" s="459"/>
      <c r="O21" s="186"/>
    </row>
    <row r="22" spans="1:15" ht="30" x14ac:dyDescent="0.25">
      <c r="A22" s="328" t="s">
        <v>8</v>
      </c>
      <c r="B22" s="328" t="s">
        <v>7</v>
      </c>
      <c r="C22" s="328" t="s">
        <v>27</v>
      </c>
      <c r="D22" s="328" t="s">
        <v>127</v>
      </c>
      <c r="E22" s="328" t="s">
        <v>33</v>
      </c>
      <c r="F22" s="328" t="s">
        <v>45</v>
      </c>
      <c r="G22" s="328" t="s">
        <v>22</v>
      </c>
      <c r="H22" s="385">
        <v>41455</v>
      </c>
      <c r="I22" s="328" t="s">
        <v>137</v>
      </c>
      <c r="J22" s="379">
        <v>5.2490547599999999</v>
      </c>
      <c r="K22" s="379">
        <v>-3.1385882800000005</v>
      </c>
      <c r="L22" s="379">
        <v>2.1104664799999995</v>
      </c>
      <c r="M22" s="379"/>
      <c r="N22" s="379"/>
      <c r="O22" s="379"/>
    </row>
    <row r="23" spans="1:15" ht="30" x14ac:dyDescent="0.25">
      <c r="A23" s="322" t="s">
        <v>84</v>
      </c>
      <c r="B23" s="322" t="s">
        <v>7</v>
      </c>
      <c r="C23" s="322" t="s">
        <v>92</v>
      </c>
      <c r="D23" s="322" t="s">
        <v>128</v>
      </c>
      <c r="E23" s="322" t="s">
        <v>33</v>
      </c>
      <c r="F23" s="322" t="s">
        <v>45</v>
      </c>
      <c r="G23" s="322" t="s">
        <v>22</v>
      </c>
      <c r="H23" s="386">
        <v>41455</v>
      </c>
      <c r="I23" s="322" t="s">
        <v>137</v>
      </c>
      <c r="J23" s="380">
        <v>0.78420411999999995</v>
      </c>
      <c r="K23" s="380">
        <v>-2.6344919999999997E-2</v>
      </c>
      <c r="L23" s="380">
        <v>0.75785919999999996</v>
      </c>
      <c r="M23" s="380"/>
      <c r="N23" s="380"/>
      <c r="O23" s="380"/>
    </row>
    <row r="24" spans="1:15" ht="30" x14ac:dyDescent="0.25">
      <c r="A24" s="328" t="s">
        <v>84</v>
      </c>
      <c r="B24" s="328" t="s">
        <v>7</v>
      </c>
      <c r="C24" s="328" t="s">
        <v>27</v>
      </c>
      <c r="D24" s="328" t="s">
        <v>127</v>
      </c>
      <c r="E24" s="328" t="s">
        <v>33</v>
      </c>
      <c r="F24" s="328" t="s">
        <v>45</v>
      </c>
      <c r="G24" s="328" t="s">
        <v>22</v>
      </c>
      <c r="H24" s="385">
        <v>41820</v>
      </c>
      <c r="I24" s="328" t="s">
        <v>138</v>
      </c>
      <c r="J24" s="379">
        <v>0.92112859999999996</v>
      </c>
      <c r="K24" s="379">
        <v>0</v>
      </c>
      <c r="L24" s="379">
        <v>0.92112859999999996</v>
      </c>
      <c r="M24" s="379"/>
      <c r="N24" s="379"/>
      <c r="O24" s="379"/>
    </row>
    <row r="25" spans="1:15" ht="30" x14ac:dyDescent="0.25">
      <c r="A25" s="322" t="s">
        <v>8</v>
      </c>
      <c r="B25" s="322" t="s">
        <v>7</v>
      </c>
      <c r="C25" s="322" t="s">
        <v>92</v>
      </c>
      <c r="D25" s="322" t="s">
        <v>128</v>
      </c>
      <c r="E25" s="322" t="s">
        <v>33</v>
      </c>
      <c r="F25" s="322" t="s">
        <v>45</v>
      </c>
      <c r="G25" s="322" t="s">
        <v>22</v>
      </c>
      <c r="H25" s="386">
        <v>41820</v>
      </c>
      <c r="I25" s="322" t="s">
        <v>138</v>
      </c>
      <c r="J25" s="380">
        <v>2.7230235199999999</v>
      </c>
      <c r="K25" s="380">
        <v>0</v>
      </c>
      <c r="L25" s="380">
        <v>2.7230235199999999</v>
      </c>
      <c r="M25" s="380"/>
      <c r="N25" s="380"/>
      <c r="O25" s="380"/>
    </row>
    <row r="26" spans="1:15" ht="30" x14ac:dyDescent="0.25">
      <c r="A26" s="328" t="s">
        <v>8</v>
      </c>
      <c r="B26" s="328" t="s">
        <v>7</v>
      </c>
      <c r="C26" s="328" t="s">
        <v>27</v>
      </c>
      <c r="D26" s="328" t="s">
        <v>127</v>
      </c>
      <c r="E26" s="328" t="s">
        <v>33</v>
      </c>
      <c r="F26" s="328" t="s">
        <v>45</v>
      </c>
      <c r="G26" s="328" t="s">
        <v>22</v>
      </c>
      <c r="H26" s="385">
        <v>42185</v>
      </c>
      <c r="I26" s="328" t="s">
        <v>139</v>
      </c>
      <c r="J26" s="379"/>
      <c r="K26" s="379">
        <v>0</v>
      </c>
      <c r="L26" s="379">
        <v>0</v>
      </c>
      <c r="M26" s="379"/>
      <c r="N26" s="379"/>
      <c r="O26" s="379"/>
    </row>
    <row r="27" spans="1:15" ht="30" x14ac:dyDescent="0.25">
      <c r="A27" s="322" t="s">
        <v>8</v>
      </c>
      <c r="B27" s="322" t="s">
        <v>7</v>
      </c>
      <c r="C27" s="322" t="s">
        <v>92</v>
      </c>
      <c r="D27" s="322" t="s">
        <v>128</v>
      </c>
      <c r="E27" s="322" t="s">
        <v>33</v>
      </c>
      <c r="F27" s="322" t="s">
        <v>45</v>
      </c>
      <c r="G27" s="322" t="s">
        <v>22</v>
      </c>
      <c r="H27" s="386">
        <v>42185</v>
      </c>
      <c r="I27" s="322" t="s">
        <v>139</v>
      </c>
      <c r="J27" s="380">
        <v>1.5495680000000001</v>
      </c>
      <c r="K27" s="380">
        <v>0</v>
      </c>
      <c r="L27" s="380">
        <v>1.5495680000000001</v>
      </c>
      <c r="M27" s="380"/>
      <c r="N27" s="380"/>
      <c r="O27" s="380"/>
    </row>
    <row r="28" spans="1:15" ht="30" x14ac:dyDescent="0.25">
      <c r="A28" s="328" t="s">
        <v>8</v>
      </c>
      <c r="B28" s="328" t="s">
        <v>7</v>
      </c>
      <c r="C28" s="328" t="s">
        <v>27</v>
      </c>
      <c r="D28" s="328" t="s">
        <v>127</v>
      </c>
      <c r="E28" s="328" t="s">
        <v>33</v>
      </c>
      <c r="F28" s="328" t="s">
        <v>45</v>
      </c>
      <c r="G28" s="328" t="s">
        <v>22</v>
      </c>
      <c r="H28" s="385">
        <v>42551</v>
      </c>
      <c r="I28" s="328" t="s">
        <v>301</v>
      </c>
      <c r="J28" s="379"/>
      <c r="K28" s="379">
        <v>0</v>
      </c>
      <c r="L28" s="379">
        <v>0</v>
      </c>
      <c r="M28" s="379"/>
      <c r="N28" s="379"/>
      <c r="O28" s="379"/>
    </row>
    <row r="29" spans="1:15" ht="30" x14ac:dyDescent="0.25">
      <c r="A29" s="322" t="s">
        <v>8</v>
      </c>
      <c r="B29" s="322" t="s">
        <v>7</v>
      </c>
      <c r="C29" s="322" t="s">
        <v>92</v>
      </c>
      <c r="D29" s="322" t="s">
        <v>128</v>
      </c>
      <c r="E29" s="322" t="s">
        <v>33</v>
      </c>
      <c r="F29" s="322" t="s">
        <v>45</v>
      </c>
      <c r="G29" s="322" t="s">
        <v>22</v>
      </c>
      <c r="H29" s="386">
        <v>42551</v>
      </c>
      <c r="I29" s="322" t="s">
        <v>301</v>
      </c>
      <c r="J29" s="380">
        <v>0.71745599999999998</v>
      </c>
      <c r="K29" s="380">
        <v>0</v>
      </c>
      <c r="L29" s="380">
        <v>0.71745599999999998</v>
      </c>
      <c r="M29" s="380"/>
      <c r="N29" s="380"/>
      <c r="O29" s="380"/>
    </row>
    <row r="30" spans="1:15" ht="30" x14ac:dyDescent="0.25">
      <c r="A30" s="328" t="s">
        <v>296</v>
      </c>
      <c r="B30" s="328"/>
      <c r="C30" s="328"/>
      <c r="D30" s="328"/>
      <c r="E30" s="328"/>
      <c r="F30" s="328"/>
      <c r="G30" s="328"/>
      <c r="H30" s="385" t="s">
        <v>206</v>
      </c>
      <c r="I30" s="328"/>
      <c r="J30" s="379">
        <v>11.944435</v>
      </c>
      <c r="K30" s="379">
        <v>-3.1649332000000006</v>
      </c>
      <c r="L30" s="379">
        <v>8.7795018000000002</v>
      </c>
      <c r="M30" s="379">
        <v>8.5243557900000013</v>
      </c>
      <c r="N30" s="379">
        <v>0.25514600999999981</v>
      </c>
      <c r="O30" s="379"/>
    </row>
    <row r="31" spans="1:15" ht="15" x14ac:dyDescent="0.25">
      <c r="A31" s="322"/>
      <c r="B31" s="322"/>
      <c r="C31" s="322"/>
      <c r="D31" s="322"/>
      <c r="E31" s="322"/>
      <c r="F31" s="322"/>
      <c r="G31" s="322"/>
      <c r="H31" s="386"/>
      <c r="I31" s="322"/>
      <c r="J31" s="380"/>
      <c r="K31" s="380"/>
      <c r="L31" s="380"/>
      <c r="M31" s="380"/>
      <c r="N31" s="380"/>
      <c r="O31" s="380"/>
    </row>
    <row r="32" spans="1:15" ht="30" x14ac:dyDescent="0.25">
      <c r="A32" s="181" t="s">
        <v>296</v>
      </c>
      <c r="B32" s="181"/>
      <c r="C32" s="181"/>
      <c r="D32" s="181"/>
      <c r="E32" s="182"/>
      <c r="F32" s="181"/>
      <c r="G32" s="181"/>
      <c r="H32" s="183" t="s">
        <v>206</v>
      </c>
      <c r="I32" s="181"/>
      <c r="J32" s="354"/>
      <c r="K32" s="354"/>
      <c r="L32" s="354"/>
      <c r="M32" s="354"/>
      <c r="N32" s="354"/>
      <c r="O32" s="354"/>
    </row>
    <row r="33" spans="1:15" ht="15" x14ac:dyDescent="0.25">
      <c r="A33" s="181"/>
      <c r="B33" s="181"/>
      <c r="C33" s="181"/>
      <c r="D33" s="181"/>
      <c r="E33" s="182"/>
      <c r="F33" s="181"/>
      <c r="G33" s="181"/>
      <c r="H33" s="183"/>
      <c r="I33" s="181"/>
      <c r="J33" s="354"/>
      <c r="K33" s="354"/>
      <c r="L33" s="354"/>
      <c r="M33" s="354"/>
      <c r="N33" s="354"/>
      <c r="O33" s="354"/>
    </row>
    <row r="34" spans="1:15" ht="15" x14ac:dyDescent="0.25">
      <c r="A34" s="184" t="s">
        <v>298</v>
      </c>
      <c r="B34" s="184"/>
      <c r="C34" s="185"/>
      <c r="D34" s="185"/>
      <c r="E34" s="184"/>
      <c r="F34" s="184"/>
      <c r="G34" s="184"/>
      <c r="H34" s="383"/>
      <c r="I34" s="184"/>
      <c r="J34" s="403"/>
      <c r="K34" s="403"/>
      <c r="L34" s="403"/>
      <c r="M34" s="403"/>
      <c r="N34" s="403"/>
      <c r="O34" s="404"/>
    </row>
    <row r="35" spans="1:15" ht="15" x14ac:dyDescent="0.25">
      <c r="A35" s="901">
        <v>1.08</v>
      </c>
      <c r="B35" s="902"/>
      <c r="C35" s="902"/>
      <c r="D35" s="902"/>
      <c r="E35" s="902"/>
      <c r="F35" s="902"/>
      <c r="G35" s="902"/>
      <c r="H35" s="902"/>
      <c r="I35" s="902"/>
      <c r="J35" s="902"/>
      <c r="K35" s="902"/>
      <c r="L35" s="902"/>
      <c r="M35" s="902"/>
      <c r="N35" s="902"/>
      <c r="O35" s="903"/>
    </row>
    <row r="36" spans="1:15" ht="60" x14ac:dyDescent="0.25">
      <c r="A36" s="176" t="s">
        <v>89</v>
      </c>
      <c r="B36" s="176" t="s">
        <v>90</v>
      </c>
      <c r="C36" s="177" t="s">
        <v>0</v>
      </c>
      <c r="D36" s="177" t="s">
        <v>124</v>
      </c>
      <c r="E36" s="176" t="s">
        <v>143</v>
      </c>
      <c r="F36" s="176" t="s">
        <v>144</v>
      </c>
      <c r="G36" s="176" t="s">
        <v>13</v>
      </c>
      <c r="H36" s="382" t="s">
        <v>88</v>
      </c>
      <c r="I36" s="176" t="s">
        <v>12</v>
      </c>
      <c r="J36" s="400" t="s">
        <v>200</v>
      </c>
      <c r="K36" s="400" t="s">
        <v>199</v>
      </c>
      <c r="L36" s="400" t="s">
        <v>201</v>
      </c>
      <c r="M36" s="400" t="s">
        <v>149</v>
      </c>
      <c r="N36" s="400" t="s">
        <v>179</v>
      </c>
      <c r="O36" s="400" t="s">
        <v>304</v>
      </c>
    </row>
    <row r="37" spans="1:15" ht="30" x14ac:dyDescent="0.25">
      <c r="A37" s="328" t="s">
        <v>84</v>
      </c>
      <c r="B37" s="328" t="s">
        <v>9</v>
      </c>
      <c r="C37" s="328" t="s">
        <v>183</v>
      </c>
      <c r="D37" s="328" t="s">
        <v>142</v>
      </c>
      <c r="E37" s="329" t="s">
        <v>142</v>
      </c>
      <c r="F37" s="328" t="s">
        <v>142</v>
      </c>
      <c r="G37" s="328" t="s">
        <v>22</v>
      </c>
      <c r="H37" s="93">
        <v>41449</v>
      </c>
      <c r="I37" s="328" t="s">
        <v>172</v>
      </c>
      <c r="J37" s="96">
        <v>7.0349999999999996E-2</v>
      </c>
      <c r="K37" s="96" t="s">
        <v>299</v>
      </c>
      <c r="L37" s="96">
        <v>7.0349999999999996E-2</v>
      </c>
      <c r="M37" s="96">
        <f>+O37*50000/1000000</f>
        <v>6.5979999999999997E-2</v>
      </c>
      <c r="N37" s="292">
        <f>IF(M37-L37&lt;0,0,M37-L37)</f>
        <v>0</v>
      </c>
      <c r="O37" s="96">
        <v>1.3196000000000001</v>
      </c>
    </row>
    <row r="38" spans="1:15" ht="30" x14ac:dyDescent="0.25">
      <c r="A38" s="111" t="s">
        <v>297</v>
      </c>
      <c r="B38" s="99"/>
      <c r="C38" s="2"/>
      <c r="D38" s="2"/>
      <c r="E38" s="2"/>
      <c r="F38" s="2"/>
      <c r="G38" s="2"/>
      <c r="H38" s="3"/>
      <c r="I38" s="2"/>
      <c r="J38" s="293"/>
      <c r="K38" s="293"/>
      <c r="L38" s="144">
        <f>L37</f>
        <v>7.0349999999999996E-2</v>
      </c>
      <c r="M38" s="144">
        <f>M37</f>
        <v>6.5979999999999997E-2</v>
      </c>
      <c r="N38" s="378">
        <f>N37</f>
        <v>0</v>
      </c>
      <c r="O38" s="144">
        <f>O37</f>
        <v>1.3196000000000001</v>
      </c>
    </row>
    <row r="39" spans="1:15" ht="15" x14ac:dyDescent="0.25">
      <c r="A39" s="99"/>
      <c r="B39" s="99"/>
      <c r="C39" s="99"/>
      <c r="D39" s="99"/>
      <c r="E39" s="99"/>
      <c r="F39" s="99"/>
      <c r="G39" s="99"/>
      <c r="H39" s="388"/>
      <c r="I39" s="99"/>
      <c r="J39" s="144"/>
      <c r="K39" s="144"/>
      <c r="L39" s="144"/>
      <c r="M39" s="144"/>
      <c r="N39" s="144"/>
      <c r="O39" s="144"/>
    </row>
    <row r="40" spans="1:15" ht="15" x14ac:dyDescent="0.25">
      <c r="A40" s="99"/>
      <c r="B40" s="99"/>
      <c r="C40" s="99"/>
      <c r="D40" s="99"/>
      <c r="E40" s="99"/>
      <c r="F40" s="99"/>
      <c r="G40" s="99"/>
      <c r="H40" s="388"/>
      <c r="I40" s="99"/>
      <c r="J40" s="77"/>
      <c r="K40" s="144"/>
      <c r="L40" s="144"/>
      <c r="M40" s="77"/>
      <c r="N40" s="77"/>
      <c r="O40" s="77"/>
    </row>
    <row r="41" spans="1:15" ht="15" x14ac:dyDescent="0.25">
      <c r="A41" s="99"/>
      <c r="B41" s="99"/>
      <c r="C41" s="99"/>
      <c r="D41" s="99"/>
      <c r="E41" s="99"/>
      <c r="F41" s="99"/>
      <c r="G41" s="99"/>
      <c r="H41" s="388"/>
      <c r="I41" s="99"/>
      <c r="J41" s="77"/>
      <c r="K41" s="77"/>
      <c r="L41" s="77"/>
      <c r="M41" s="77"/>
      <c r="N41" s="77"/>
      <c r="O41" s="77"/>
    </row>
    <row r="42" spans="1:15" ht="15" x14ac:dyDescent="0.25">
      <c r="A42" s="99"/>
      <c r="B42" s="99"/>
      <c r="C42" s="99"/>
      <c r="D42" s="99"/>
      <c r="E42" s="99"/>
      <c r="F42" s="99"/>
      <c r="G42" s="99"/>
      <c r="H42" s="388"/>
      <c r="I42" s="99"/>
      <c r="J42" s="77"/>
      <c r="K42" s="77"/>
      <c r="L42" s="77"/>
      <c r="M42" s="77"/>
      <c r="N42" s="77"/>
      <c r="O42" s="77"/>
    </row>
    <row r="43" spans="1:15" ht="15" x14ac:dyDescent="0.25">
      <c r="A43" s="99"/>
      <c r="B43" s="99"/>
      <c r="C43" s="99"/>
      <c r="D43" s="99"/>
      <c r="E43" s="99"/>
      <c r="F43" s="99"/>
      <c r="G43" s="99"/>
      <c r="H43" s="388"/>
      <c r="I43" s="99"/>
      <c r="J43" s="77"/>
      <c r="K43" s="77"/>
      <c r="L43" s="77"/>
      <c r="M43" s="77"/>
      <c r="N43" s="77"/>
      <c r="O43" s="77"/>
    </row>
    <row r="44" spans="1:15" ht="15" x14ac:dyDescent="0.25">
      <c r="A44" s="99"/>
      <c r="B44" s="99"/>
      <c r="C44" s="99"/>
      <c r="D44" s="99"/>
      <c r="E44" s="99"/>
      <c r="F44" s="99"/>
      <c r="G44" s="99"/>
      <c r="H44" s="388"/>
      <c r="I44" s="99"/>
      <c r="J44" s="77"/>
      <c r="K44" s="77"/>
      <c r="L44" s="77"/>
      <c r="M44" s="77"/>
      <c r="N44" s="77"/>
      <c r="O44" s="77"/>
    </row>
    <row r="45" spans="1:15" ht="15" x14ac:dyDescent="0.25">
      <c r="A45" s="99"/>
      <c r="B45" s="99"/>
      <c r="C45" s="99"/>
      <c r="D45" s="99"/>
      <c r="E45" s="99"/>
      <c r="F45" s="99"/>
      <c r="G45" s="99"/>
      <c r="H45" s="388"/>
      <c r="I45" s="99"/>
      <c r="J45" s="77"/>
      <c r="K45" s="77"/>
      <c r="L45" s="77"/>
      <c r="M45" s="77"/>
      <c r="N45" s="77"/>
      <c r="O45" s="77"/>
    </row>
    <row r="46" spans="1:15" ht="15" x14ac:dyDescent="0.25">
      <c r="A46" s="99"/>
      <c r="B46" s="99"/>
      <c r="C46" s="99"/>
      <c r="D46" s="99"/>
      <c r="E46" s="99"/>
      <c r="F46" s="99"/>
      <c r="G46" s="99"/>
      <c r="H46" s="388"/>
      <c r="I46" s="99"/>
      <c r="J46" s="77"/>
      <c r="K46" s="77"/>
      <c r="L46" s="77"/>
      <c r="M46" s="77"/>
      <c r="N46" s="77"/>
      <c r="O46" s="77"/>
    </row>
    <row r="47" spans="1:15" ht="15.6" thickBot="1" x14ac:dyDescent="0.3">
      <c r="A47" s="904"/>
      <c r="B47" s="904"/>
      <c r="C47" s="904"/>
      <c r="D47" s="904"/>
      <c r="E47" s="904"/>
      <c r="F47" s="904"/>
      <c r="G47" s="904"/>
      <c r="H47" s="904"/>
      <c r="I47" s="904"/>
      <c r="J47" s="904"/>
      <c r="K47" s="904"/>
      <c r="L47" s="904"/>
      <c r="M47" s="904"/>
      <c r="N47" s="904"/>
      <c r="O47" s="904"/>
    </row>
    <row r="48" spans="1:15" ht="15.6" x14ac:dyDescent="0.3">
      <c r="A48" s="905"/>
      <c r="B48" s="905"/>
      <c r="C48" s="905"/>
      <c r="D48" s="905"/>
      <c r="E48" s="905"/>
      <c r="F48" s="905"/>
      <c r="G48" s="99"/>
      <c r="H48" s="388"/>
      <c r="I48" s="99"/>
      <c r="J48" s="77"/>
      <c r="K48" s="77"/>
      <c r="L48" s="77"/>
      <c r="M48" s="77"/>
      <c r="N48" s="77"/>
      <c r="O48" s="77"/>
    </row>
    <row r="49" spans="1:15" ht="15.6" x14ac:dyDescent="0.3">
      <c r="A49" s="202"/>
      <c r="B49" s="203"/>
      <c r="C49" s="203"/>
      <c r="D49" s="202"/>
      <c r="E49" s="202"/>
      <c r="F49" s="202"/>
      <c r="G49" s="99"/>
      <c r="H49" s="384"/>
      <c r="I49" s="99"/>
      <c r="J49" s="77"/>
      <c r="K49" s="77"/>
      <c r="L49" s="77"/>
      <c r="M49" s="77"/>
      <c r="N49" s="77"/>
      <c r="O49" s="77"/>
    </row>
    <row r="50" spans="1:15" ht="15" x14ac:dyDescent="0.25">
      <c r="A50" s="391"/>
      <c r="B50" s="391"/>
      <c r="C50" s="391"/>
      <c r="D50" s="391"/>
      <c r="E50" s="391"/>
      <c r="F50" s="391"/>
      <c r="G50" s="99"/>
      <c r="H50" s="388"/>
      <c r="I50" s="99"/>
      <c r="J50" s="77"/>
      <c r="K50" s="77"/>
      <c r="L50" s="77"/>
      <c r="M50" s="77"/>
      <c r="N50" s="77"/>
      <c r="O50" s="77"/>
    </row>
    <row r="51" spans="1:15" ht="15" x14ac:dyDescent="0.25">
      <c r="A51" s="395"/>
      <c r="B51" s="392"/>
      <c r="C51" s="392"/>
      <c r="D51" s="392"/>
      <c r="E51" s="392"/>
      <c r="F51" s="205"/>
      <c r="G51" s="99"/>
      <c r="H51" s="388"/>
      <c r="I51" s="99"/>
      <c r="J51" s="77"/>
      <c r="K51" s="77"/>
      <c r="L51" s="77"/>
      <c r="M51" s="77"/>
      <c r="N51" s="77"/>
      <c r="O51" s="77"/>
    </row>
    <row r="52" spans="1:15" ht="15" x14ac:dyDescent="0.25">
      <c r="A52" s="395"/>
      <c r="B52" s="392"/>
      <c r="C52" s="392"/>
      <c r="D52" s="392"/>
      <c r="E52" s="392"/>
      <c r="F52" s="205"/>
      <c r="G52" s="99"/>
      <c r="H52" s="388"/>
      <c r="I52" s="99"/>
      <c r="J52" s="77"/>
      <c r="K52" s="77"/>
      <c r="L52" s="77"/>
      <c r="M52" s="77"/>
      <c r="N52" s="77"/>
      <c r="O52" s="77"/>
    </row>
    <row r="53" spans="1:15" ht="15" x14ac:dyDescent="0.25">
      <c r="A53" s="391"/>
      <c r="B53" s="392"/>
      <c r="C53" s="392"/>
      <c r="D53" s="392"/>
      <c r="E53" s="392"/>
      <c r="F53" s="205"/>
      <c r="G53" s="99"/>
      <c r="H53" s="388"/>
      <c r="I53" s="99"/>
      <c r="J53" s="77"/>
      <c r="K53" s="77"/>
      <c r="L53" s="77"/>
      <c r="M53" s="77"/>
      <c r="N53" s="77"/>
      <c r="O53" s="77"/>
    </row>
    <row r="54" spans="1:15" ht="15" x14ac:dyDescent="0.25">
      <c r="A54" s="395"/>
      <c r="B54" s="392"/>
      <c r="C54" s="392"/>
      <c r="D54" s="392"/>
      <c r="E54" s="392"/>
      <c r="F54" s="205"/>
      <c r="G54" s="99"/>
      <c r="H54" s="388"/>
      <c r="I54" s="99"/>
      <c r="J54" s="77"/>
      <c r="K54" s="77"/>
      <c r="L54" s="77"/>
      <c r="M54" s="77"/>
      <c r="N54" s="77"/>
      <c r="O54" s="77"/>
    </row>
    <row r="55" spans="1:15" ht="15" x14ac:dyDescent="0.25">
      <c r="A55" s="391"/>
      <c r="B55" s="392"/>
      <c r="C55" s="392"/>
      <c r="D55" s="392"/>
      <c r="E55" s="392"/>
      <c r="F55" s="205"/>
      <c r="G55" s="99"/>
      <c r="H55" s="388"/>
      <c r="I55" s="99"/>
      <c r="J55" s="77"/>
      <c r="K55" s="77"/>
      <c r="L55" s="77"/>
      <c r="M55" s="77"/>
      <c r="N55" s="77"/>
      <c r="O55" s="77"/>
    </row>
    <row r="56" spans="1:15" ht="15" x14ac:dyDescent="0.25">
      <c r="A56" s="391"/>
      <c r="B56" s="392"/>
      <c r="C56" s="392"/>
      <c r="D56" s="392"/>
      <c r="E56" s="392"/>
      <c r="F56" s="205"/>
      <c r="G56" s="99"/>
      <c r="H56" s="388"/>
      <c r="I56" s="99"/>
      <c r="J56" s="77"/>
      <c r="K56" s="77"/>
      <c r="L56" s="77"/>
      <c r="M56" s="77"/>
      <c r="N56" s="77"/>
      <c r="O56" s="77"/>
    </row>
    <row r="57" spans="1:15" ht="16.8" x14ac:dyDescent="0.4">
      <c r="A57" s="391"/>
      <c r="B57" s="393"/>
      <c r="C57" s="393"/>
      <c r="D57" s="393"/>
      <c r="E57" s="393"/>
      <c r="F57" s="207"/>
      <c r="G57" s="99"/>
      <c r="H57" s="389"/>
      <c r="I57" s="99"/>
      <c r="J57" s="77"/>
      <c r="K57" s="77"/>
      <c r="L57" s="77"/>
      <c r="M57" s="77"/>
      <c r="N57" s="77"/>
      <c r="O57" s="77"/>
    </row>
    <row r="58" spans="1:15" ht="16.8" x14ac:dyDescent="0.4">
      <c r="A58" s="391"/>
      <c r="B58" s="394"/>
      <c r="C58" s="394"/>
      <c r="D58" s="394"/>
      <c r="E58" s="394"/>
      <c r="F58" s="210"/>
      <c r="G58" s="99"/>
      <c r="H58" s="390"/>
      <c r="I58" s="99"/>
      <c r="J58" s="77"/>
      <c r="K58" s="77"/>
      <c r="L58" s="77"/>
      <c r="M58" s="77"/>
      <c r="N58" s="77"/>
      <c r="O58" s="77"/>
    </row>
    <row r="59" spans="1:15" ht="15" x14ac:dyDescent="0.25">
      <c r="A59" s="391"/>
      <c r="B59" s="391"/>
      <c r="C59" s="391"/>
      <c r="D59" s="391"/>
      <c r="E59" s="391"/>
      <c r="F59" s="391"/>
      <c r="G59" s="99"/>
      <c r="H59" s="388"/>
      <c r="I59" s="99"/>
      <c r="J59" s="77"/>
      <c r="K59" s="77"/>
      <c r="L59" s="77"/>
      <c r="M59" s="77"/>
      <c r="N59" s="77"/>
      <c r="O59" s="77"/>
    </row>
    <row r="60" spans="1:15" ht="15" x14ac:dyDescent="0.25">
      <c r="A60" s="99"/>
      <c r="B60" s="99"/>
      <c r="C60" s="99"/>
      <c r="D60" s="99"/>
      <c r="E60" s="99"/>
      <c r="F60" s="99"/>
      <c r="G60" s="99"/>
      <c r="H60" s="388"/>
      <c r="I60" s="99"/>
      <c r="J60" s="77"/>
      <c r="K60" s="77"/>
      <c r="L60" s="77"/>
      <c r="M60" s="77"/>
      <c r="N60" s="77"/>
      <c r="O60" s="77"/>
    </row>
    <row r="61" spans="1:15" ht="15" x14ac:dyDescent="0.25">
      <c r="A61" s="99"/>
      <c r="B61" s="99"/>
      <c r="C61" s="99"/>
      <c r="D61" s="99"/>
      <c r="E61" s="99"/>
      <c r="F61" s="99"/>
      <c r="G61" s="99"/>
      <c r="H61" s="388"/>
      <c r="I61" s="99"/>
      <c r="J61" s="77"/>
      <c r="K61" s="77"/>
      <c r="L61" s="77"/>
      <c r="M61" s="77"/>
      <c r="N61" s="77"/>
      <c r="O61" s="77"/>
    </row>
    <row r="62" spans="1:15" ht="15" x14ac:dyDescent="0.25">
      <c r="A62" s="99"/>
      <c r="B62" s="99"/>
      <c r="C62" s="99"/>
      <c r="D62" s="99"/>
      <c r="E62" s="99"/>
      <c r="F62" s="99"/>
      <c r="G62" s="99"/>
      <c r="H62" s="388"/>
      <c r="I62" s="99"/>
      <c r="J62" s="77"/>
      <c r="K62" s="77"/>
      <c r="L62" s="77"/>
      <c r="M62" s="77"/>
      <c r="N62" s="77"/>
      <c r="O62" s="77"/>
    </row>
    <row r="63" spans="1:15" ht="15" x14ac:dyDescent="0.25">
      <c r="A63" s="99"/>
      <c r="B63" s="99"/>
      <c r="C63" s="99"/>
      <c r="D63" s="99"/>
      <c r="E63" s="99"/>
      <c r="F63" s="99"/>
      <c r="G63" s="99"/>
      <c r="H63" s="388"/>
      <c r="I63" s="99"/>
      <c r="J63" s="77"/>
      <c r="K63" s="77"/>
      <c r="L63" s="77"/>
      <c r="M63" s="77"/>
      <c r="N63" s="77"/>
      <c r="O63" s="77"/>
    </row>
    <row r="64" spans="1:15" ht="15" x14ac:dyDescent="0.25">
      <c r="A64" s="99"/>
      <c r="B64" s="99"/>
      <c r="C64" s="99"/>
      <c r="D64" s="99"/>
      <c r="E64" s="99"/>
      <c r="F64" s="99"/>
      <c r="G64" s="99"/>
      <c r="H64" s="388"/>
      <c r="I64" s="99"/>
      <c r="J64" s="77"/>
      <c r="K64" s="77"/>
      <c r="L64" s="77"/>
      <c r="M64" s="77"/>
      <c r="N64" s="77"/>
      <c r="O64" s="77"/>
    </row>
    <row r="65" spans="1:15" ht="15" x14ac:dyDescent="0.25">
      <c r="A65" s="99"/>
      <c r="B65" s="99"/>
      <c r="C65" s="99"/>
      <c r="D65" s="99"/>
      <c r="E65" s="99"/>
      <c r="F65" s="99"/>
      <c r="G65" s="99"/>
      <c r="H65" s="388"/>
      <c r="I65" s="99"/>
      <c r="J65" s="77"/>
      <c r="K65" s="77"/>
      <c r="L65" s="77"/>
      <c r="M65" s="77"/>
      <c r="N65" s="77"/>
      <c r="O65" s="77"/>
    </row>
    <row r="66" spans="1:15" ht="15" x14ac:dyDescent="0.25">
      <c r="A66" s="99"/>
      <c r="B66" s="99"/>
      <c r="C66" s="99"/>
      <c r="D66" s="99"/>
      <c r="E66" s="99"/>
      <c r="F66" s="99"/>
      <c r="G66" s="99"/>
      <c r="H66" s="388"/>
      <c r="I66" s="99"/>
      <c r="J66" s="77"/>
      <c r="K66" s="77"/>
      <c r="L66" s="77"/>
      <c r="M66" s="77"/>
      <c r="N66" s="77"/>
      <c r="O66" s="77"/>
    </row>
    <row r="67" spans="1:15" ht="15" x14ac:dyDescent="0.25">
      <c r="A67" s="99"/>
      <c r="B67" s="99"/>
      <c r="C67" s="99"/>
      <c r="D67" s="99"/>
      <c r="E67" s="99"/>
      <c r="F67" s="99"/>
      <c r="G67" s="99"/>
      <c r="H67" s="388"/>
      <c r="I67" s="99"/>
      <c r="J67" s="77"/>
      <c r="K67" s="77"/>
      <c r="L67" s="77"/>
      <c r="M67" s="77"/>
      <c r="N67" s="77"/>
      <c r="O67" s="77"/>
    </row>
    <row r="68" spans="1:15" ht="15" x14ac:dyDescent="0.25">
      <c r="A68" s="99"/>
      <c r="B68" s="99"/>
      <c r="C68" s="99"/>
      <c r="D68" s="99"/>
      <c r="E68" s="99"/>
      <c r="F68" s="99"/>
      <c r="G68" s="99"/>
      <c r="H68" s="388"/>
      <c r="I68" s="99"/>
      <c r="J68" s="77"/>
      <c r="K68" s="77"/>
      <c r="L68" s="77"/>
      <c r="M68" s="77"/>
      <c r="N68" s="77"/>
      <c r="O68" s="77"/>
    </row>
    <row r="69" spans="1:15" ht="15" x14ac:dyDescent="0.25">
      <c r="A69" s="99"/>
      <c r="B69" s="99"/>
      <c r="C69" s="99"/>
      <c r="D69" s="99"/>
      <c r="E69" s="99"/>
      <c r="F69" s="99"/>
      <c r="G69" s="99"/>
      <c r="H69" s="388"/>
      <c r="I69" s="99"/>
      <c r="J69" s="77"/>
      <c r="K69" s="77"/>
      <c r="L69" s="77"/>
      <c r="M69" s="77"/>
      <c r="N69" s="77"/>
      <c r="O69" s="77"/>
    </row>
    <row r="70" spans="1:15" ht="15" x14ac:dyDescent="0.25">
      <c r="A70" s="99"/>
      <c r="B70" s="99"/>
      <c r="C70" s="99"/>
      <c r="D70" s="99"/>
      <c r="E70" s="99"/>
      <c r="F70" s="99"/>
      <c r="G70" s="99"/>
      <c r="H70" s="388"/>
      <c r="I70" s="99"/>
      <c r="J70" s="77"/>
      <c r="K70" s="77"/>
      <c r="L70" s="77"/>
      <c r="M70" s="77"/>
      <c r="N70" s="77"/>
      <c r="O70" s="77"/>
    </row>
    <row r="71" spans="1:15" ht="15" x14ac:dyDescent="0.25">
      <c r="A71" s="99"/>
      <c r="B71" s="99"/>
      <c r="C71" s="99"/>
      <c r="D71" s="99"/>
      <c r="E71" s="99"/>
      <c r="F71" s="99"/>
      <c r="G71" s="99"/>
      <c r="H71" s="388"/>
      <c r="I71" s="99"/>
      <c r="J71" s="77"/>
      <c r="K71" s="77"/>
      <c r="L71" s="77"/>
      <c r="M71" s="77"/>
      <c r="N71" s="77"/>
      <c r="O71" s="77"/>
    </row>
    <row r="72" spans="1:15" ht="15" x14ac:dyDescent="0.25">
      <c r="A72" s="99"/>
      <c r="B72" s="99"/>
      <c r="C72" s="99"/>
      <c r="D72" s="99"/>
      <c r="E72" s="99"/>
      <c r="F72" s="99"/>
      <c r="G72" s="99"/>
      <c r="H72" s="388"/>
      <c r="I72" s="99"/>
      <c r="J72" s="77"/>
      <c r="K72" s="77"/>
      <c r="L72" s="77"/>
      <c r="M72" s="77"/>
      <c r="N72" s="77"/>
      <c r="O72" s="77"/>
    </row>
    <row r="73" spans="1:15" ht="15" x14ac:dyDescent="0.25">
      <c r="A73" s="99"/>
      <c r="B73" s="99"/>
      <c r="C73" s="99"/>
      <c r="D73" s="99"/>
      <c r="E73" s="99"/>
      <c r="F73" s="99"/>
      <c r="G73" s="99"/>
      <c r="H73" s="388"/>
      <c r="I73" s="99"/>
      <c r="J73" s="77"/>
      <c r="K73" s="77"/>
      <c r="L73" s="77"/>
      <c r="M73" s="77"/>
      <c r="N73" s="77"/>
      <c r="O73" s="77"/>
    </row>
    <row r="74" spans="1:15" ht="15" x14ac:dyDescent="0.25">
      <c r="A74" s="99"/>
      <c r="B74" s="99"/>
      <c r="C74" s="99"/>
      <c r="D74" s="99"/>
      <c r="E74" s="99"/>
      <c r="F74" s="99"/>
      <c r="G74" s="99"/>
      <c r="H74" s="388"/>
      <c r="I74" s="99"/>
      <c r="J74" s="77"/>
      <c r="K74" s="77"/>
      <c r="L74" s="77"/>
      <c r="M74" s="77"/>
      <c r="N74" s="77"/>
      <c r="O74" s="77"/>
    </row>
    <row r="75" spans="1:15" ht="15" x14ac:dyDescent="0.25">
      <c r="A75" s="99"/>
      <c r="B75" s="99"/>
      <c r="C75" s="99"/>
      <c r="D75" s="99"/>
      <c r="E75" s="99"/>
      <c r="F75" s="99"/>
      <c r="G75" s="99"/>
      <c r="H75" s="388"/>
      <c r="I75" s="99"/>
      <c r="J75" s="77"/>
      <c r="K75" s="77"/>
      <c r="L75" s="77"/>
      <c r="M75" s="77"/>
      <c r="N75" s="77"/>
      <c r="O75" s="77"/>
    </row>
    <row r="76" spans="1:15" ht="15" x14ac:dyDescent="0.25">
      <c r="A76" s="99"/>
      <c r="B76" s="99"/>
      <c r="C76" s="99"/>
      <c r="D76" s="99"/>
      <c r="E76" s="99"/>
      <c r="F76" s="99"/>
      <c r="G76" s="99"/>
      <c r="H76" s="388"/>
      <c r="I76" s="99"/>
      <c r="J76" s="77"/>
      <c r="K76" s="77"/>
      <c r="L76" s="77"/>
      <c r="M76" s="77"/>
      <c r="N76" s="77"/>
      <c r="O76" s="77"/>
    </row>
    <row r="77" spans="1:15" ht="15" x14ac:dyDescent="0.25">
      <c r="A77" s="99"/>
      <c r="B77" s="99"/>
      <c r="C77" s="99"/>
      <c r="D77" s="99"/>
      <c r="E77" s="99"/>
      <c r="F77" s="99"/>
      <c r="G77" s="99"/>
      <c r="H77" s="388"/>
      <c r="I77" s="99"/>
      <c r="J77" s="77"/>
      <c r="K77" s="77"/>
      <c r="L77" s="77"/>
      <c r="M77" s="77"/>
      <c r="N77" s="77"/>
      <c r="O77" s="77"/>
    </row>
    <row r="78" spans="1:15" ht="15" x14ac:dyDescent="0.25">
      <c r="A78" s="99"/>
      <c r="B78" s="99"/>
      <c r="C78" s="99"/>
      <c r="D78" s="99"/>
      <c r="E78" s="99"/>
      <c r="F78" s="99"/>
      <c r="G78" s="99"/>
      <c r="H78" s="388"/>
      <c r="I78" s="99"/>
      <c r="J78" s="77"/>
      <c r="K78" s="77"/>
      <c r="L78" s="77"/>
      <c r="M78" s="77"/>
      <c r="N78" s="77"/>
      <c r="O78" s="77"/>
    </row>
    <row r="79" spans="1:15" ht="15" x14ac:dyDescent="0.25">
      <c r="A79" s="99"/>
      <c r="B79" s="99"/>
      <c r="C79" s="99"/>
      <c r="D79" s="99"/>
      <c r="E79" s="99"/>
      <c r="F79" s="99"/>
      <c r="G79" s="99"/>
      <c r="H79" s="388"/>
      <c r="I79" s="99"/>
      <c r="J79" s="77"/>
      <c r="K79" s="77"/>
      <c r="L79" s="77"/>
      <c r="M79" s="77"/>
      <c r="N79" s="77"/>
      <c r="O79" s="77"/>
    </row>
    <row r="80" spans="1:15" ht="15" x14ac:dyDescent="0.25">
      <c r="A80" s="99"/>
      <c r="B80" s="99"/>
      <c r="C80" s="99"/>
      <c r="D80" s="99"/>
      <c r="E80" s="99"/>
      <c r="F80" s="99"/>
      <c r="G80" s="99"/>
      <c r="H80" s="388"/>
      <c r="I80" s="99"/>
      <c r="J80" s="77"/>
      <c r="K80" s="77"/>
      <c r="L80" s="77"/>
      <c r="M80" s="77"/>
      <c r="N80" s="77"/>
      <c r="O80" s="77"/>
    </row>
    <row r="81" spans="1:15" ht="15" x14ac:dyDescent="0.25">
      <c r="A81" s="99"/>
      <c r="B81" s="99"/>
      <c r="C81" s="99"/>
      <c r="D81" s="99"/>
      <c r="E81" s="99"/>
      <c r="F81" s="99"/>
      <c r="G81" s="99"/>
      <c r="H81" s="388"/>
      <c r="I81" s="99"/>
      <c r="J81" s="77"/>
      <c r="K81" s="77"/>
      <c r="L81" s="77"/>
      <c r="M81" s="77"/>
      <c r="N81" s="77"/>
      <c r="O81" s="77"/>
    </row>
    <row r="82" spans="1:15" ht="15" x14ac:dyDescent="0.25">
      <c r="A82" s="99"/>
      <c r="B82" s="99"/>
      <c r="C82" s="99"/>
      <c r="D82" s="99"/>
      <c r="E82" s="99"/>
      <c r="F82" s="99"/>
      <c r="G82" s="99"/>
      <c r="H82" s="388"/>
      <c r="I82" s="99"/>
      <c r="J82" s="77"/>
      <c r="K82" s="77"/>
      <c r="L82" s="77"/>
      <c r="M82" s="77"/>
      <c r="N82" s="77"/>
      <c r="O82" s="77"/>
    </row>
    <row r="83" spans="1:15" ht="15" x14ac:dyDescent="0.25">
      <c r="A83" s="99"/>
      <c r="B83" s="99"/>
      <c r="C83" s="99"/>
      <c r="D83" s="99"/>
      <c r="E83" s="99"/>
      <c r="F83" s="99"/>
      <c r="G83" s="99"/>
      <c r="H83" s="388"/>
      <c r="I83" s="99"/>
      <c r="J83" s="77"/>
      <c r="K83" s="77"/>
      <c r="L83" s="77"/>
      <c r="M83" s="77"/>
      <c r="N83" s="77"/>
      <c r="O83" s="77"/>
    </row>
    <row r="84" spans="1:15" ht="15" x14ac:dyDescent="0.25">
      <c r="A84" s="99"/>
      <c r="B84" s="99"/>
      <c r="C84" s="99"/>
      <c r="D84" s="99"/>
      <c r="E84" s="99"/>
      <c r="F84" s="99"/>
      <c r="G84" s="99"/>
      <c r="H84" s="388"/>
      <c r="I84" s="99"/>
      <c r="J84" s="77"/>
      <c r="K84" s="77"/>
      <c r="L84" s="77"/>
      <c r="M84" s="77"/>
      <c r="N84" s="77"/>
      <c r="O84" s="77"/>
    </row>
    <row r="85" spans="1:15" ht="15" x14ac:dyDescent="0.25">
      <c r="A85" s="99"/>
      <c r="B85" s="99"/>
      <c r="C85" s="99"/>
      <c r="D85" s="99"/>
      <c r="E85" s="99"/>
      <c r="F85" s="99"/>
      <c r="G85" s="99"/>
      <c r="H85" s="388"/>
      <c r="I85" s="99"/>
      <c r="J85" s="77"/>
      <c r="K85" s="77"/>
      <c r="L85" s="77"/>
      <c r="M85" s="77"/>
      <c r="N85" s="77"/>
      <c r="O85" s="77"/>
    </row>
    <row r="86" spans="1:15" ht="15" x14ac:dyDescent="0.25">
      <c r="A86" s="99"/>
      <c r="B86" s="99"/>
      <c r="C86" s="99"/>
      <c r="D86" s="99"/>
      <c r="E86" s="99"/>
      <c r="F86" s="99"/>
      <c r="G86" s="99"/>
      <c r="H86" s="388"/>
      <c r="I86" s="99"/>
      <c r="J86" s="77"/>
      <c r="K86" s="77"/>
      <c r="L86" s="77"/>
      <c r="M86" s="77"/>
      <c r="N86" s="77"/>
      <c r="O86" s="77"/>
    </row>
    <row r="87" spans="1:15" ht="15" x14ac:dyDescent="0.25">
      <c r="A87" s="99"/>
      <c r="B87" s="99"/>
      <c r="C87" s="99"/>
      <c r="D87" s="99"/>
      <c r="E87" s="99"/>
      <c r="F87" s="99"/>
      <c r="G87" s="99"/>
      <c r="H87" s="388"/>
      <c r="I87" s="99"/>
      <c r="J87" s="77"/>
      <c r="K87" s="77"/>
      <c r="L87" s="77"/>
      <c r="M87" s="77"/>
      <c r="N87" s="77"/>
      <c r="O87" s="77"/>
    </row>
    <row r="88" spans="1:15" ht="15" x14ac:dyDescent="0.25">
      <c r="A88" s="99"/>
      <c r="B88" s="99"/>
      <c r="C88" s="99"/>
      <c r="D88" s="99"/>
      <c r="E88" s="99"/>
      <c r="F88" s="99"/>
      <c r="G88" s="99"/>
      <c r="H88" s="388"/>
      <c r="I88" s="99"/>
      <c r="J88" s="77"/>
      <c r="K88" s="77"/>
      <c r="L88" s="77"/>
      <c r="M88" s="77"/>
      <c r="N88" s="77"/>
      <c r="O88" s="77"/>
    </row>
    <row r="89" spans="1:15" ht="15" x14ac:dyDescent="0.25">
      <c r="A89" s="99"/>
      <c r="B89" s="99"/>
      <c r="C89" s="99"/>
      <c r="D89" s="99"/>
      <c r="E89" s="99"/>
      <c r="F89" s="99"/>
      <c r="G89" s="99"/>
      <c r="H89" s="388"/>
      <c r="I89" s="99"/>
      <c r="J89" s="77"/>
      <c r="K89" s="77"/>
      <c r="L89" s="77"/>
      <c r="M89" s="77"/>
      <c r="N89" s="77"/>
      <c r="O89" s="77"/>
    </row>
    <row r="90" spans="1:15" ht="15" x14ac:dyDescent="0.25">
      <c r="A90" s="99"/>
      <c r="B90" s="99"/>
      <c r="C90" s="99"/>
      <c r="D90" s="99"/>
      <c r="E90" s="99"/>
      <c r="F90" s="99"/>
      <c r="G90" s="99"/>
      <c r="H90" s="388"/>
      <c r="I90" s="99"/>
      <c r="J90" s="77"/>
      <c r="K90" s="77"/>
      <c r="L90" s="77"/>
      <c r="M90" s="77"/>
      <c r="N90" s="77"/>
      <c r="O90" s="77"/>
    </row>
    <row r="91" spans="1:15" ht="15" x14ac:dyDescent="0.25">
      <c r="A91" s="99"/>
      <c r="B91" s="99"/>
      <c r="C91" s="99"/>
      <c r="D91" s="99"/>
      <c r="E91" s="99"/>
      <c r="F91" s="99"/>
      <c r="G91" s="99"/>
      <c r="H91" s="388"/>
      <c r="I91" s="99"/>
      <c r="J91" s="77"/>
      <c r="K91" s="77"/>
      <c r="L91" s="77"/>
      <c r="M91" s="77"/>
      <c r="N91" s="77"/>
      <c r="O91" s="77"/>
    </row>
    <row r="92" spans="1:15" ht="15" x14ac:dyDescent="0.25">
      <c r="A92" s="99"/>
      <c r="B92" s="99"/>
      <c r="C92" s="99"/>
      <c r="D92" s="99"/>
      <c r="E92" s="99"/>
      <c r="F92" s="99"/>
      <c r="G92" s="99"/>
      <c r="H92" s="388"/>
      <c r="I92" s="99"/>
      <c r="J92" s="77"/>
      <c r="K92" s="77"/>
      <c r="L92" s="77"/>
      <c r="M92" s="77"/>
      <c r="N92" s="77"/>
      <c r="O92" s="77"/>
    </row>
    <row r="93" spans="1:15" ht="15" x14ac:dyDescent="0.25">
      <c r="A93" s="99"/>
      <c r="B93" s="99"/>
      <c r="C93" s="99"/>
      <c r="D93" s="99"/>
      <c r="E93" s="99"/>
      <c r="F93" s="99"/>
      <c r="G93" s="99"/>
      <c r="H93" s="388"/>
      <c r="I93" s="99"/>
      <c r="J93" s="77"/>
      <c r="K93" s="77"/>
      <c r="L93" s="77"/>
      <c r="M93" s="77"/>
      <c r="N93" s="77"/>
      <c r="O93" s="77"/>
    </row>
    <row r="94" spans="1:15" ht="15" x14ac:dyDescent="0.25">
      <c r="A94" s="99"/>
      <c r="B94" s="99"/>
      <c r="C94" s="99"/>
      <c r="D94" s="99"/>
      <c r="E94" s="99"/>
      <c r="F94" s="99"/>
      <c r="G94" s="99"/>
      <c r="H94" s="388"/>
      <c r="I94" s="99"/>
      <c r="J94" s="77"/>
      <c r="K94" s="77"/>
      <c r="L94" s="77"/>
      <c r="M94" s="77"/>
      <c r="N94" s="77"/>
      <c r="O94" s="77"/>
    </row>
    <row r="95" spans="1:15" ht="15" x14ac:dyDescent="0.25">
      <c r="A95" s="99"/>
      <c r="B95" s="99"/>
      <c r="C95" s="99"/>
      <c r="D95" s="99"/>
      <c r="E95" s="99"/>
      <c r="F95" s="99"/>
      <c r="G95" s="99"/>
      <c r="H95" s="388"/>
      <c r="I95" s="99"/>
      <c r="J95" s="77"/>
      <c r="K95" s="77"/>
      <c r="L95" s="77"/>
      <c r="M95" s="77"/>
      <c r="N95" s="77"/>
      <c r="O95" s="77"/>
    </row>
    <row r="96" spans="1:15" ht="15" x14ac:dyDescent="0.25">
      <c r="A96" s="99"/>
      <c r="B96" s="99"/>
      <c r="C96" s="99"/>
      <c r="D96" s="99"/>
      <c r="E96" s="99"/>
      <c r="F96" s="99"/>
      <c r="G96" s="99"/>
      <c r="H96" s="388"/>
      <c r="I96" s="99"/>
      <c r="J96" s="77"/>
      <c r="K96" s="77"/>
      <c r="L96" s="77"/>
      <c r="M96" s="77"/>
      <c r="N96" s="77"/>
      <c r="O96" s="77"/>
    </row>
    <row r="97" spans="1:15" ht="15" x14ac:dyDescent="0.25">
      <c r="A97" s="99"/>
      <c r="B97" s="99"/>
      <c r="C97" s="99"/>
      <c r="D97" s="99"/>
      <c r="E97" s="99"/>
      <c r="F97" s="99"/>
      <c r="G97" s="99"/>
      <c r="H97" s="388"/>
      <c r="I97" s="99"/>
      <c r="J97" s="77"/>
      <c r="K97" s="77"/>
      <c r="L97" s="77"/>
      <c r="M97" s="77"/>
      <c r="N97" s="77"/>
      <c r="O97" s="77"/>
    </row>
    <row r="98" spans="1:15" ht="15" x14ac:dyDescent="0.25">
      <c r="A98" s="99"/>
      <c r="B98" s="99"/>
      <c r="C98" s="99"/>
      <c r="D98" s="99"/>
      <c r="E98" s="99"/>
      <c r="F98" s="99"/>
      <c r="G98" s="99"/>
      <c r="H98" s="388"/>
      <c r="I98" s="99"/>
      <c r="J98" s="77"/>
      <c r="K98" s="77"/>
      <c r="L98" s="77"/>
      <c r="M98" s="77"/>
      <c r="N98" s="77"/>
      <c r="O98" s="77"/>
    </row>
    <row r="99" spans="1:15" ht="15" x14ac:dyDescent="0.25">
      <c r="A99" s="99"/>
      <c r="B99" s="99"/>
      <c r="C99" s="99"/>
      <c r="D99" s="99"/>
      <c r="E99" s="99"/>
      <c r="F99" s="99"/>
      <c r="G99" s="99"/>
      <c r="H99" s="388"/>
      <c r="I99" s="99"/>
      <c r="J99" s="77"/>
      <c r="K99" s="77"/>
      <c r="L99" s="77"/>
      <c r="M99" s="77"/>
      <c r="N99" s="77"/>
      <c r="O99" s="77"/>
    </row>
    <row r="100" spans="1:15" ht="15.6" thickBot="1" x14ac:dyDescent="0.3">
      <c r="A100" s="99"/>
      <c r="B100" s="99"/>
      <c r="C100" s="99"/>
      <c r="D100" s="99"/>
      <c r="E100" s="99"/>
      <c r="F100" s="99"/>
      <c r="G100" s="99"/>
      <c r="H100" s="388"/>
      <c r="I100" s="99"/>
      <c r="J100" s="77"/>
      <c r="K100" s="77"/>
      <c r="L100" s="77"/>
      <c r="M100" s="77"/>
      <c r="N100" s="77"/>
      <c r="O100" s="77"/>
    </row>
    <row r="101" spans="1:15" ht="15" x14ac:dyDescent="0.25">
      <c r="A101" s="894" t="s">
        <v>195</v>
      </c>
      <c r="B101" s="895"/>
      <c r="C101" s="895"/>
      <c r="D101" s="895"/>
      <c r="E101" s="895"/>
      <c r="F101" s="896"/>
      <c r="G101" s="99"/>
      <c r="H101" s="388"/>
      <c r="I101" s="99"/>
      <c r="J101" s="77"/>
      <c r="K101" s="77"/>
      <c r="L101" s="77"/>
      <c r="M101" s="77"/>
      <c r="N101" s="77"/>
      <c r="O101" s="77"/>
    </row>
    <row r="102" spans="1:15" ht="15.6" thickBot="1" x14ac:dyDescent="0.3">
      <c r="A102" s="897"/>
      <c r="B102" s="898"/>
      <c r="C102" s="898"/>
      <c r="D102" s="898"/>
      <c r="E102" s="898"/>
      <c r="F102" s="899"/>
      <c r="G102" s="99"/>
      <c r="H102" s="388"/>
      <c r="I102" s="99"/>
      <c r="J102" s="77"/>
      <c r="K102" s="77"/>
      <c r="L102" s="77"/>
      <c r="M102" s="77"/>
      <c r="N102" s="77"/>
      <c r="O102" s="77"/>
    </row>
    <row r="103" spans="1:15" ht="15" x14ac:dyDescent="0.25">
      <c r="A103" s="162" t="s">
        <v>5</v>
      </c>
      <c r="B103" s="161" t="s">
        <v>6</v>
      </c>
      <c r="C103" s="161" t="s">
        <v>13</v>
      </c>
      <c r="D103" s="161" t="s">
        <v>82</v>
      </c>
      <c r="E103" s="161" t="s">
        <v>115</v>
      </c>
      <c r="F103" s="163" t="s">
        <v>116</v>
      </c>
      <c r="G103" s="99"/>
      <c r="H103" s="388"/>
      <c r="I103" s="99"/>
      <c r="J103" s="77"/>
      <c r="K103" s="77"/>
      <c r="L103" s="77"/>
      <c r="M103" s="77"/>
      <c r="N103" s="77"/>
      <c r="O103" s="77"/>
    </row>
    <row r="104" spans="1:15" ht="15" x14ac:dyDescent="0.25">
      <c r="A104" s="396" t="s">
        <v>239</v>
      </c>
      <c r="B104" s="106"/>
      <c r="C104" s="106"/>
      <c r="D104" s="106"/>
      <c r="E104" s="106"/>
      <c r="F104" s="107"/>
      <c r="G104" s="99"/>
      <c r="H104" s="388"/>
      <c r="I104" s="99"/>
      <c r="J104" s="77"/>
      <c r="K104" s="77"/>
      <c r="L104" s="77"/>
      <c r="M104" s="77"/>
      <c r="N104" s="77"/>
      <c r="O104" s="77"/>
    </row>
    <row r="105" spans="1:15" ht="30" x14ac:dyDescent="0.25">
      <c r="A105" s="396" t="s">
        <v>91</v>
      </c>
      <c r="B105" s="106" t="s">
        <v>190</v>
      </c>
      <c r="C105" s="106" t="s">
        <v>18</v>
      </c>
      <c r="D105" s="106" t="s">
        <v>8</v>
      </c>
      <c r="E105" s="106" t="s">
        <v>36</v>
      </c>
      <c r="F105" s="107" t="s">
        <v>29</v>
      </c>
      <c r="G105" s="99"/>
      <c r="H105" s="388"/>
      <c r="I105" s="99"/>
      <c r="J105" s="77"/>
      <c r="K105" s="77"/>
      <c r="L105" s="77"/>
      <c r="M105" s="77"/>
      <c r="N105" s="77"/>
      <c r="O105" s="77"/>
    </row>
    <row r="106" spans="1:15" ht="30" x14ac:dyDescent="0.25">
      <c r="A106" s="397" t="s">
        <v>27</v>
      </c>
      <c r="B106" s="106" t="s">
        <v>192</v>
      </c>
      <c r="C106" s="106" t="s">
        <v>15</v>
      </c>
      <c r="D106" s="106" t="s">
        <v>84</v>
      </c>
      <c r="E106" s="106" t="s">
        <v>35</v>
      </c>
      <c r="F106" s="107" t="s">
        <v>28</v>
      </c>
      <c r="G106" s="99"/>
      <c r="H106" s="388"/>
      <c r="I106" s="99"/>
      <c r="J106" s="77"/>
      <c r="K106" s="77"/>
      <c r="L106" s="77"/>
      <c r="M106" s="77"/>
      <c r="N106" s="77"/>
      <c r="O106" s="77"/>
    </row>
    <row r="107" spans="1:15" ht="30" x14ac:dyDescent="0.25">
      <c r="A107" s="397" t="s">
        <v>125</v>
      </c>
      <c r="B107" s="106" t="s">
        <v>191</v>
      </c>
      <c r="C107" s="106" t="s">
        <v>16</v>
      </c>
      <c r="D107" s="106"/>
      <c r="E107" s="106" t="s">
        <v>46</v>
      </c>
      <c r="F107" s="107" t="s">
        <v>34</v>
      </c>
      <c r="G107" s="99"/>
      <c r="H107" s="388"/>
      <c r="I107" s="99"/>
      <c r="J107" s="77"/>
      <c r="K107" s="77"/>
      <c r="L107" s="77"/>
      <c r="M107" s="77"/>
      <c r="N107" s="77"/>
      <c r="O107" s="77"/>
    </row>
    <row r="108" spans="1:15" ht="15" x14ac:dyDescent="0.25">
      <c r="A108" s="396" t="s">
        <v>128</v>
      </c>
      <c r="B108" s="106" t="s">
        <v>193</v>
      </c>
      <c r="C108" s="106" t="s">
        <v>20</v>
      </c>
      <c r="D108" s="106"/>
      <c r="E108" s="106" t="s">
        <v>142</v>
      </c>
      <c r="F108" s="107" t="s">
        <v>142</v>
      </c>
      <c r="G108" s="99"/>
      <c r="H108" s="388"/>
      <c r="I108" s="99"/>
      <c r="J108" s="77"/>
      <c r="K108" s="77"/>
      <c r="L108" s="77"/>
      <c r="M108" s="77"/>
      <c r="N108" s="77"/>
      <c r="O108" s="77"/>
    </row>
    <row r="109" spans="1:15" ht="15" x14ac:dyDescent="0.25">
      <c r="A109" s="397" t="s">
        <v>92</v>
      </c>
      <c r="B109" s="106"/>
      <c r="C109" s="106" t="s">
        <v>19</v>
      </c>
      <c r="D109" s="106"/>
      <c r="E109" s="106" t="s">
        <v>37</v>
      </c>
      <c r="F109" s="107" t="s">
        <v>30</v>
      </c>
      <c r="G109" s="99"/>
      <c r="H109" s="388"/>
      <c r="I109" s="99"/>
      <c r="J109" s="77"/>
      <c r="K109" s="77"/>
      <c r="L109" s="77"/>
      <c r="M109" s="77"/>
      <c r="N109" s="77"/>
      <c r="O109" s="77"/>
    </row>
    <row r="110" spans="1:15" ht="30" x14ac:dyDescent="0.25">
      <c r="A110" s="396" t="s">
        <v>308</v>
      </c>
      <c r="B110" s="106"/>
      <c r="C110" s="106" t="s">
        <v>21</v>
      </c>
      <c r="D110" s="106"/>
      <c r="E110" s="106" t="s">
        <v>117</v>
      </c>
      <c r="F110" s="107" t="s">
        <v>121</v>
      </c>
      <c r="G110" s="99"/>
      <c r="H110" s="388"/>
      <c r="I110" s="99"/>
      <c r="J110" s="77"/>
      <c r="K110" s="77"/>
      <c r="L110" s="77"/>
      <c r="M110" s="77"/>
      <c r="N110" s="77"/>
      <c r="O110" s="77"/>
    </row>
    <row r="111" spans="1:15" ht="30" x14ac:dyDescent="0.25">
      <c r="A111" s="396" t="s">
        <v>309</v>
      </c>
      <c r="B111" s="106"/>
      <c r="C111" s="106" t="s">
        <v>14</v>
      </c>
      <c r="D111" s="106"/>
      <c r="E111" s="106" t="s">
        <v>42</v>
      </c>
      <c r="F111" s="107" t="s">
        <v>40</v>
      </c>
      <c r="G111" s="99"/>
      <c r="H111" s="388"/>
      <c r="I111" s="99"/>
      <c r="J111" s="77"/>
      <c r="K111" s="77"/>
      <c r="L111" s="77"/>
      <c r="M111" s="77"/>
      <c r="N111" s="77"/>
      <c r="O111" s="77"/>
    </row>
    <row r="112" spans="1:15" ht="30" x14ac:dyDescent="0.25">
      <c r="A112" s="396" t="s">
        <v>307</v>
      </c>
      <c r="B112" s="106"/>
      <c r="C112" s="106" t="s">
        <v>17</v>
      </c>
      <c r="D112" s="106"/>
      <c r="E112" s="106" t="s">
        <v>38</v>
      </c>
      <c r="F112" s="107" t="s">
        <v>31</v>
      </c>
      <c r="G112" s="99"/>
      <c r="H112" s="388"/>
      <c r="I112" s="99"/>
      <c r="J112" s="77"/>
      <c r="K112" s="77"/>
      <c r="L112" s="77"/>
      <c r="M112" s="77"/>
      <c r="N112" s="77"/>
      <c r="O112" s="77"/>
    </row>
    <row r="113" spans="1:15" ht="15" x14ac:dyDescent="0.25">
      <c r="A113" s="397" t="s">
        <v>4</v>
      </c>
      <c r="B113" s="106"/>
      <c r="C113" s="106"/>
      <c r="D113" s="106"/>
      <c r="E113" s="106" t="s">
        <v>41</v>
      </c>
      <c r="F113" s="107" t="s">
        <v>39</v>
      </c>
      <c r="G113" s="99"/>
      <c r="H113" s="388"/>
      <c r="I113" s="99"/>
      <c r="J113" s="77"/>
      <c r="K113" s="77"/>
      <c r="L113" s="77"/>
      <c r="M113" s="77"/>
      <c r="N113" s="77"/>
      <c r="O113" s="77"/>
    </row>
    <row r="114" spans="1:15" ht="15" x14ac:dyDescent="0.25">
      <c r="A114" s="397" t="s">
        <v>126</v>
      </c>
      <c r="B114" s="106"/>
      <c r="C114" s="106"/>
      <c r="D114" s="106"/>
      <c r="E114" s="106" t="s">
        <v>43</v>
      </c>
      <c r="F114" s="107" t="s">
        <v>120</v>
      </c>
      <c r="G114" s="99"/>
      <c r="H114" s="388"/>
      <c r="I114" s="99"/>
      <c r="J114" s="77"/>
      <c r="K114" s="77"/>
      <c r="L114" s="77"/>
      <c r="M114" s="77"/>
      <c r="N114" s="77"/>
      <c r="O114" s="77"/>
    </row>
    <row r="115" spans="1:15" x14ac:dyDescent="0.25">
      <c r="A115" s="2" t="s">
        <v>238</v>
      </c>
      <c r="B115" s="2"/>
      <c r="C115" s="2"/>
      <c r="D115" s="2"/>
      <c r="E115" s="2" t="s">
        <v>118</v>
      </c>
      <c r="F115" s="2" t="s">
        <v>122</v>
      </c>
      <c r="G115" s="2"/>
      <c r="H115" s="3"/>
      <c r="I115" s="2"/>
    </row>
    <row r="116" spans="1:15" x14ac:dyDescent="0.25">
      <c r="A116" s="2" t="s">
        <v>183</v>
      </c>
      <c r="B116" s="2"/>
      <c r="C116" s="2"/>
      <c r="D116" s="2"/>
      <c r="E116" s="2" t="s">
        <v>45</v>
      </c>
      <c r="F116" s="2" t="s">
        <v>32</v>
      </c>
      <c r="G116" s="2"/>
      <c r="H116" s="3"/>
      <c r="I116" s="2"/>
    </row>
    <row r="117" spans="1:15" x14ac:dyDescent="0.25">
      <c r="A117" s="2"/>
      <c r="B117" s="2"/>
      <c r="C117" s="2"/>
      <c r="D117" s="2"/>
      <c r="E117" s="2"/>
      <c r="F117" s="2"/>
      <c r="G117" s="2"/>
      <c r="H117" s="3"/>
      <c r="I117" s="2"/>
    </row>
    <row r="118" spans="1:15" x14ac:dyDescent="0.25">
      <c r="A118" s="2"/>
      <c r="B118" s="2"/>
      <c r="C118" s="2"/>
      <c r="D118" s="2"/>
      <c r="E118" s="2"/>
      <c r="F118" s="2"/>
      <c r="G118" s="2"/>
      <c r="H118" s="3"/>
      <c r="I118" s="2"/>
    </row>
    <row r="119" spans="1:15" x14ac:dyDescent="0.25">
      <c r="A119" s="2"/>
      <c r="B119" s="2"/>
      <c r="C119" s="2"/>
      <c r="D119" s="2"/>
      <c r="E119" s="2"/>
      <c r="F119" s="2"/>
      <c r="G119" s="2"/>
      <c r="H119" s="3"/>
      <c r="I119" s="2"/>
    </row>
    <row r="120" spans="1:15" x14ac:dyDescent="0.25">
      <c r="A120" s="2"/>
      <c r="B120" s="2"/>
      <c r="C120" s="2"/>
      <c r="D120" s="2"/>
      <c r="E120" s="2"/>
      <c r="F120" s="2"/>
      <c r="G120" s="2"/>
      <c r="H120" s="3"/>
      <c r="I120" s="2"/>
    </row>
    <row r="121" spans="1:15" x14ac:dyDescent="0.25">
      <c r="A121" s="2"/>
      <c r="B121" s="2"/>
      <c r="C121" s="2"/>
      <c r="D121" s="2"/>
      <c r="E121" s="2"/>
      <c r="F121" s="2"/>
      <c r="G121" s="2"/>
      <c r="H121" s="3"/>
      <c r="I121" s="2"/>
    </row>
    <row r="122" spans="1:15" x14ac:dyDescent="0.25">
      <c r="A122" s="2"/>
      <c r="B122" s="2"/>
      <c r="C122" s="2"/>
      <c r="D122" s="2"/>
      <c r="E122" s="2"/>
      <c r="F122" s="2"/>
      <c r="G122" s="2"/>
      <c r="H122" s="3"/>
      <c r="I122" s="2"/>
    </row>
    <row r="123" spans="1:15" x14ac:dyDescent="0.25">
      <c r="A123" s="2"/>
      <c r="B123" s="2"/>
      <c r="C123" s="2"/>
      <c r="D123" s="2"/>
      <c r="E123" s="2"/>
      <c r="F123" s="2"/>
      <c r="G123" s="2"/>
      <c r="H123" s="3"/>
      <c r="I123" s="2"/>
    </row>
    <row r="124" spans="1:15" x14ac:dyDescent="0.25">
      <c r="A124" s="2"/>
      <c r="B124" s="2"/>
      <c r="C124" s="2"/>
      <c r="D124" s="2"/>
      <c r="E124" s="2"/>
      <c r="F124" s="2"/>
      <c r="G124" s="2"/>
      <c r="H124" s="3"/>
      <c r="I124" s="2"/>
    </row>
    <row r="125" spans="1:15" x14ac:dyDescent="0.25">
      <c r="A125" s="2"/>
      <c r="B125" s="2"/>
      <c r="C125" s="2"/>
      <c r="D125" s="2"/>
      <c r="E125" s="2"/>
      <c r="F125" s="2"/>
      <c r="G125" s="2"/>
      <c r="H125" s="3"/>
      <c r="I125" s="2"/>
    </row>
    <row r="126" spans="1:15" x14ac:dyDescent="0.25">
      <c r="A126" s="2"/>
      <c r="B126" s="2"/>
      <c r="C126" s="2"/>
      <c r="D126" s="2"/>
      <c r="E126" s="2"/>
      <c r="F126" s="2"/>
      <c r="G126" s="2"/>
      <c r="H126" s="3"/>
      <c r="I126" s="2"/>
    </row>
    <row r="127" spans="1:15" x14ac:dyDescent="0.25">
      <c r="A127" s="2"/>
      <c r="B127" s="2"/>
      <c r="C127" s="2"/>
      <c r="D127" s="2"/>
      <c r="E127" s="2"/>
      <c r="F127" s="2"/>
      <c r="G127" s="2"/>
      <c r="H127" s="3"/>
      <c r="I127" s="2"/>
    </row>
    <row r="128" spans="1:15" x14ac:dyDescent="0.25">
      <c r="A128" s="2"/>
      <c r="B128" s="2"/>
      <c r="C128" s="2"/>
      <c r="D128" s="2"/>
      <c r="E128" s="2"/>
      <c r="F128" s="2"/>
      <c r="G128" s="2"/>
      <c r="H128" s="3"/>
      <c r="I128" s="2"/>
    </row>
    <row r="129" spans="1:9" x14ac:dyDescent="0.25">
      <c r="A129" s="2"/>
      <c r="B129" s="2"/>
      <c r="C129" s="2"/>
      <c r="D129" s="2"/>
      <c r="E129" s="2"/>
      <c r="F129" s="2"/>
      <c r="G129" s="2"/>
      <c r="H129" s="3"/>
      <c r="I129" s="2"/>
    </row>
    <row r="130" spans="1:9" x14ac:dyDescent="0.25">
      <c r="A130" s="2"/>
      <c r="B130" s="2"/>
      <c r="C130" s="2"/>
      <c r="D130" s="2"/>
      <c r="E130" s="2"/>
      <c r="F130" s="2"/>
      <c r="G130" s="2"/>
      <c r="H130" s="3"/>
      <c r="I130" s="2"/>
    </row>
    <row r="131" spans="1:9" x14ac:dyDescent="0.25">
      <c r="A131" s="2"/>
      <c r="B131" s="2"/>
      <c r="C131" s="2"/>
      <c r="D131" s="2"/>
      <c r="E131" s="2"/>
      <c r="F131" s="2"/>
      <c r="G131" s="2"/>
      <c r="H131" s="3"/>
      <c r="I131" s="2"/>
    </row>
    <row r="132" spans="1:9" x14ac:dyDescent="0.25">
      <c r="A132" s="2"/>
      <c r="B132" s="2"/>
      <c r="C132" s="2"/>
      <c r="D132" s="2"/>
      <c r="E132" s="2"/>
      <c r="F132" s="2"/>
      <c r="G132" s="2"/>
      <c r="H132" s="3"/>
      <c r="I132" s="2"/>
    </row>
    <row r="133" spans="1:9" x14ac:dyDescent="0.25">
      <c r="A133" s="2"/>
      <c r="B133" s="2"/>
      <c r="C133" s="2"/>
      <c r="D133" s="2"/>
      <c r="E133" s="2"/>
      <c r="F133" s="2"/>
      <c r="G133" s="2"/>
      <c r="H133" s="3"/>
      <c r="I133" s="2"/>
    </row>
    <row r="134" spans="1:9" x14ac:dyDescent="0.25">
      <c r="A134" s="2"/>
      <c r="B134" s="2"/>
      <c r="C134" s="2"/>
      <c r="D134" s="2"/>
      <c r="E134" s="2"/>
      <c r="F134" s="2"/>
      <c r="G134" s="2"/>
      <c r="H134" s="3"/>
      <c r="I134" s="2"/>
    </row>
    <row r="135" spans="1:9" x14ac:dyDescent="0.25">
      <c r="A135" s="2"/>
      <c r="B135" s="2"/>
      <c r="C135" s="2"/>
      <c r="D135" s="2"/>
      <c r="E135" s="2"/>
      <c r="F135" s="2"/>
      <c r="G135" s="2"/>
      <c r="H135" s="3"/>
      <c r="I135" s="2"/>
    </row>
  </sheetData>
  <mergeCells count="7">
    <mergeCell ref="A101:F102"/>
    <mergeCell ref="A1:O1"/>
    <mergeCell ref="A3:O3"/>
    <mergeCell ref="A11:O11"/>
    <mergeCell ref="A35:O35"/>
    <mergeCell ref="A47:O47"/>
    <mergeCell ref="A48:F48"/>
  </mergeCells>
  <dataValidations disablePrompts="1" count="7">
    <dataValidation type="list" allowBlank="1" showInputMessage="1" showErrorMessage="1" sqref="E40 C39:D46" xr:uid="{00000000-0002-0000-1A00-000000000000}">
      <formula1>#REF!</formula1>
    </dataValidation>
    <dataValidation type="list" allowBlank="1" showInputMessage="1" showErrorMessage="1" sqref="C22:D31 C14:D18 C37:D37 C5:D10" xr:uid="{00000000-0002-0000-1A00-000001000000}">
      <formula1>$A$110:$A$122</formula1>
    </dataValidation>
    <dataValidation type="list" allowBlank="1" showInputMessage="1" showErrorMessage="1" sqref="F5:F10 F22:F31 F37 F14:F18" xr:uid="{00000000-0002-0000-1A00-000002000000}">
      <formula1>$E$110:$E$124</formula1>
    </dataValidation>
    <dataValidation type="list" allowBlank="1" showInputMessage="1" showErrorMessage="1" sqref="E5:E10 E22:E31 E37 E14:E18" xr:uid="{00000000-0002-0000-1A00-000003000000}">
      <formula1>$F$110:$F$124</formula1>
    </dataValidation>
    <dataValidation type="list" allowBlank="1" showInputMessage="1" showErrorMessage="1" sqref="B5:B10 B22:B31 B14:B18 B37" xr:uid="{00000000-0002-0000-1A00-000004000000}">
      <formula1>$B$110:$B$114</formula1>
    </dataValidation>
    <dataValidation type="list" allowBlank="1" showInputMessage="1" showErrorMessage="1" sqref="A5:A10 A37 A14:A18 A22:A31" xr:uid="{00000000-0002-0000-1A00-000005000000}">
      <formula1>$D$110:$D$112</formula1>
    </dataValidation>
    <dataValidation type="list" allowBlank="1" showInputMessage="1" showErrorMessage="1" sqref="G5:G10 G14:G18 G37 G22:G31" xr:uid="{00000000-0002-0000-1A00-000006000000}">
      <formula1>$C$110:$C$118</formula1>
    </dataValidation>
  </dataValidation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7">
    <tabColor rgb="FFFF0000"/>
  </sheetPr>
  <dimension ref="A1:EA135"/>
  <sheetViews>
    <sheetView topLeftCell="I1" zoomScale="78" zoomScaleNormal="78" workbookViewId="0">
      <selection activeCell="K6" sqref="K6"/>
    </sheetView>
  </sheetViews>
  <sheetFormatPr defaultColWidth="8.77734375" defaultRowHeight="13.2" x14ac:dyDescent="0.25"/>
  <cols>
    <col min="1" max="7" width="26.44140625" customWidth="1"/>
    <col min="8" max="8" width="26.44140625" style="3" customWidth="1"/>
    <col min="9" max="15" width="26.44140625" customWidth="1"/>
  </cols>
  <sheetData>
    <row r="1" spans="1:131" ht="18" thickBot="1" x14ac:dyDescent="0.3">
      <c r="A1" s="900" t="s">
        <v>310</v>
      </c>
      <c r="B1" s="900"/>
      <c r="C1" s="900"/>
      <c r="D1" s="900"/>
      <c r="E1" s="900"/>
      <c r="F1" s="900"/>
      <c r="G1" s="900"/>
      <c r="H1" s="900"/>
      <c r="I1" s="900"/>
      <c r="J1" s="900"/>
      <c r="K1" s="900"/>
      <c r="L1" s="900"/>
      <c r="M1" s="900"/>
      <c r="N1" s="900"/>
      <c r="O1" s="900"/>
    </row>
    <row r="2" spans="1:131" ht="17.399999999999999" x14ac:dyDescent="0.25">
      <c r="A2" s="440" t="s">
        <v>188</v>
      </c>
      <c r="B2" s="175"/>
      <c r="C2" s="440"/>
      <c r="D2" s="440"/>
      <c r="E2" s="440"/>
      <c r="F2" s="440"/>
      <c r="G2" s="440"/>
      <c r="H2" s="381"/>
      <c r="I2" s="440"/>
      <c r="J2" s="399"/>
      <c r="K2" s="399"/>
      <c r="L2" s="399"/>
      <c r="M2" s="399"/>
      <c r="N2" s="399"/>
      <c r="O2" s="399"/>
    </row>
    <row r="3" spans="1:131" ht="15" x14ac:dyDescent="0.25">
      <c r="A3" s="901" t="s">
        <v>204</v>
      </c>
      <c r="B3" s="902"/>
      <c r="C3" s="902"/>
      <c r="D3" s="902"/>
      <c r="E3" s="902"/>
      <c r="F3" s="902"/>
      <c r="G3" s="902"/>
      <c r="H3" s="902"/>
      <c r="I3" s="902"/>
      <c r="J3" s="902"/>
      <c r="K3" s="902"/>
      <c r="L3" s="902"/>
      <c r="M3" s="902"/>
      <c r="N3" s="902"/>
      <c r="O3" s="903"/>
    </row>
    <row r="4" spans="1:131" ht="60" x14ac:dyDescent="0.25">
      <c r="A4" s="176" t="s">
        <v>89</v>
      </c>
      <c r="B4" s="176" t="s">
        <v>90</v>
      </c>
      <c r="C4" s="177" t="s">
        <v>0</v>
      </c>
      <c r="D4" s="177" t="s">
        <v>124</v>
      </c>
      <c r="E4" s="176" t="s">
        <v>143</v>
      </c>
      <c r="F4" s="176" t="s">
        <v>144</v>
      </c>
      <c r="G4" s="176" t="s">
        <v>13</v>
      </c>
      <c r="H4" s="382" t="s">
        <v>88</v>
      </c>
      <c r="I4" s="176" t="s">
        <v>12</v>
      </c>
      <c r="J4" s="400" t="s">
        <v>158</v>
      </c>
      <c r="K4" s="400" t="s">
        <v>148</v>
      </c>
      <c r="L4" s="400" t="s">
        <v>180</v>
      </c>
      <c r="M4" s="400" t="s">
        <v>104</v>
      </c>
      <c r="N4" s="400" t="s">
        <v>179</v>
      </c>
      <c r="O4" s="400" t="s">
        <v>205</v>
      </c>
    </row>
    <row r="5" spans="1:131" ht="30" x14ac:dyDescent="0.25">
      <c r="A5" s="322" t="s">
        <v>84</v>
      </c>
      <c r="B5" s="322" t="s">
        <v>3</v>
      </c>
      <c r="C5" s="322" t="s">
        <v>307</v>
      </c>
      <c r="D5" s="322" t="s">
        <v>307</v>
      </c>
      <c r="E5" s="327" t="s">
        <v>120</v>
      </c>
      <c r="F5" s="457" t="s">
        <v>44</v>
      </c>
      <c r="G5" s="322" t="s">
        <v>14</v>
      </c>
      <c r="H5" s="85">
        <v>44423</v>
      </c>
      <c r="I5" s="322" t="s">
        <v>23</v>
      </c>
      <c r="J5" s="350">
        <v>143.66999999999999</v>
      </c>
      <c r="K5" s="350">
        <f>'Oct12'!K5</f>
        <v>118.16</v>
      </c>
      <c r="L5" s="350">
        <f t="shared" ref="L5:L8" si="0">N5-M5</f>
        <v>18.711297649999999</v>
      </c>
      <c r="M5" s="350">
        <f t="shared" ref="M5:N8" si="1">-DZ5/1000000</f>
        <v>1.2369473400000002</v>
      </c>
      <c r="N5" s="350">
        <f t="shared" si="1"/>
        <v>19.948244989999999</v>
      </c>
      <c r="O5" s="88"/>
      <c r="DZ5">
        <v>-1236947.3400000001</v>
      </c>
      <c r="EA5">
        <v>-19948244.989999998</v>
      </c>
    </row>
    <row r="6" spans="1:131" ht="30" x14ac:dyDescent="0.25">
      <c r="A6" s="328" t="s">
        <v>84</v>
      </c>
      <c r="B6" s="328" t="s">
        <v>3</v>
      </c>
      <c r="C6" s="328" t="s">
        <v>307</v>
      </c>
      <c r="D6" s="328" t="s">
        <v>307</v>
      </c>
      <c r="E6" s="329" t="s">
        <v>120</v>
      </c>
      <c r="F6" s="458" t="s">
        <v>44</v>
      </c>
      <c r="G6" s="328" t="s">
        <v>14</v>
      </c>
      <c r="H6" s="93">
        <v>44576</v>
      </c>
      <c r="I6" s="328" t="s">
        <v>24</v>
      </c>
      <c r="J6" s="351">
        <v>27.4</v>
      </c>
      <c r="K6" s="351">
        <f>'Oct12'!K6</f>
        <v>26.9575</v>
      </c>
      <c r="L6" s="351">
        <f t="shared" si="0"/>
        <v>4.7818210799999994</v>
      </c>
      <c r="M6" s="351">
        <f t="shared" si="1"/>
        <v>6.7973939999999997E-2</v>
      </c>
      <c r="N6" s="351">
        <f t="shared" si="1"/>
        <v>4.8497950199999993</v>
      </c>
      <c r="O6" s="96"/>
      <c r="DZ6">
        <v>-67973.94</v>
      </c>
      <c r="EA6">
        <v>-4849795.0199999996</v>
      </c>
    </row>
    <row r="7" spans="1:131" ht="30" x14ac:dyDescent="0.25">
      <c r="A7" s="322" t="s">
        <v>84</v>
      </c>
      <c r="B7" s="322" t="s">
        <v>3</v>
      </c>
      <c r="C7" s="322" t="s">
        <v>308</v>
      </c>
      <c r="D7" s="322" t="s">
        <v>308</v>
      </c>
      <c r="E7" s="327" t="s">
        <v>39</v>
      </c>
      <c r="F7" s="457" t="s">
        <v>38</v>
      </c>
      <c r="G7" s="322" t="s">
        <v>14</v>
      </c>
      <c r="H7" s="85">
        <v>44576</v>
      </c>
      <c r="I7" s="322" t="s">
        <v>24</v>
      </c>
      <c r="J7" s="350">
        <v>26.85</v>
      </c>
      <c r="K7" s="350">
        <f>'Oct12'!K7</f>
        <v>26.47</v>
      </c>
      <c r="L7" s="350">
        <f t="shared" si="0"/>
        <v>4.6877907399999996</v>
      </c>
      <c r="M7" s="350">
        <f t="shared" si="1"/>
        <v>6.675101E-2</v>
      </c>
      <c r="N7" s="350">
        <f t="shared" si="1"/>
        <v>4.7545417499999996</v>
      </c>
      <c r="O7" s="88"/>
      <c r="DZ7">
        <v>-66751.009999999995</v>
      </c>
      <c r="EA7">
        <v>-4754541.75</v>
      </c>
    </row>
    <row r="8" spans="1:131" ht="30" x14ac:dyDescent="0.25">
      <c r="A8" s="328" t="s">
        <v>84</v>
      </c>
      <c r="B8" s="328" t="s">
        <v>3</v>
      </c>
      <c r="C8" s="328" t="s">
        <v>309</v>
      </c>
      <c r="D8" s="328" t="s">
        <v>125</v>
      </c>
      <c r="E8" s="329" t="s">
        <v>39</v>
      </c>
      <c r="F8" s="458" t="s">
        <v>42</v>
      </c>
      <c r="G8" s="328" t="s">
        <v>14</v>
      </c>
      <c r="H8" s="93">
        <v>46296</v>
      </c>
      <c r="I8" s="328" t="s">
        <v>25</v>
      </c>
      <c r="J8" s="351">
        <v>40.880000000000003</v>
      </c>
      <c r="K8" s="351">
        <f>'Oct12'!K8</f>
        <v>37.659999999999997</v>
      </c>
      <c r="L8" s="351">
        <f t="shared" si="0"/>
        <v>7.1304917800000007</v>
      </c>
      <c r="M8" s="351">
        <f t="shared" si="1"/>
        <v>8.5261369999999989E-2</v>
      </c>
      <c r="N8" s="351">
        <f t="shared" si="1"/>
        <v>7.2157531500000003</v>
      </c>
      <c r="O8" s="96"/>
      <c r="DZ8">
        <v>-85261.37</v>
      </c>
      <c r="EA8">
        <v>-7215753.1500000004</v>
      </c>
    </row>
    <row r="9" spans="1:131" ht="15" x14ac:dyDescent="0.25">
      <c r="A9" s="111"/>
      <c r="B9" s="111"/>
      <c r="C9" s="111"/>
      <c r="D9" s="111"/>
      <c r="E9" s="123"/>
      <c r="F9" s="111"/>
      <c r="G9" s="111"/>
      <c r="H9" s="114"/>
      <c r="I9" s="111"/>
      <c r="J9" s="352"/>
      <c r="K9" s="352"/>
      <c r="L9" s="352"/>
      <c r="M9" s="352"/>
      <c r="N9" s="353"/>
      <c r="O9" s="353"/>
    </row>
    <row r="10" spans="1:131" ht="15" x14ac:dyDescent="0.25">
      <c r="A10" s="328"/>
      <c r="B10" s="328"/>
      <c r="C10" s="328"/>
      <c r="D10" s="328"/>
      <c r="E10" s="329"/>
      <c r="F10" s="328"/>
      <c r="G10" s="328"/>
      <c r="H10" s="93"/>
      <c r="I10" s="328"/>
      <c r="J10" s="351"/>
      <c r="K10" s="351"/>
      <c r="L10" s="351"/>
      <c r="M10" s="351"/>
      <c r="N10" s="96"/>
      <c r="O10" s="96"/>
    </row>
    <row r="11" spans="1:131" ht="15" x14ac:dyDescent="0.25">
      <c r="A11" s="901" t="s">
        <v>203</v>
      </c>
      <c r="B11" s="902"/>
      <c r="C11" s="902"/>
      <c r="D11" s="902"/>
      <c r="E11" s="902"/>
      <c r="F11" s="902"/>
      <c r="G11" s="902"/>
      <c r="H11" s="902"/>
      <c r="I11" s="902"/>
      <c r="J11" s="902"/>
      <c r="K11" s="902"/>
      <c r="L11" s="902"/>
      <c r="M11" s="902"/>
      <c r="N11" s="902"/>
      <c r="O11" s="903"/>
    </row>
    <row r="12" spans="1:131" ht="60" x14ac:dyDescent="0.25">
      <c r="A12" s="176" t="s">
        <v>89</v>
      </c>
      <c r="B12" s="176" t="s">
        <v>90</v>
      </c>
      <c r="C12" s="177" t="s">
        <v>0</v>
      </c>
      <c r="D12" s="180" t="s">
        <v>124</v>
      </c>
      <c r="E12" s="176" t="s">
        <v>143</v>
      </c>
      <c r="F12" s="176" t="s">
        <v>144</v>
      </c>
      <c r="G12" s="176" t="s">
        <v>13</v>
      </c>
      <c r="H12" s="382" t="s">
        <v>88</v>
      </c>
      <c r="I12" s="176" t="s">
        <v>12</v>
      </c>
      <c r="J12" s="400" t="s">
        <v>150</v>
      </c>
      <c r="K12" s="400" t="s">
        <v>151</v>
      </c>
      <c r="L12" s="400" t="s">
        <v>157</v>
      </c>
      <c r="M12" s="400" t="s">
        <v>149</v>
      </c>
      <c r="N12" s="400" t="s">
        <v>179</v>
      </c>
      <c r="O12" s="400" t="s">
        <v>205</v>
      </c>
    </row>
    <row r="13" spans="1:131" ht="15" x14ac:dyDescent="0.25">
      <c r="A13" s="184" t="s">
        <v>197</v>
      </c>
      <c r="B13" s="184"/>
      <c r="C13" s="185"/>
      <c r="D13" s="185"/>
      <c r="E13" s="184"/>
      <c r="F13" s="184"/>
      <c r="G13" s="184"/>
      <c r="H13" s="383"/>
      <c r="I13" s="184"/>
      <c r="J13" s="403"/>
      <c r="K13" s="403"/>
      <c r="L13" s="403"/>
      <c r="M13" s="403"/>
      <c r="N13" s="403"/>
      <c r="O13" s="404"/>
    </row>
    <row r="14" spans="1:131" ht="30" x14ac:dyDescent="0.25">
      <c r="A14" s="328" t="s">
        <v>8</v>
      </c>
      <c r="B14" s="328" t="s">
        <v>7</v>
      </c>
      <c r="C14" s="328" t="s">
        <v>239</v>
      </c>
      <c r="D14" s="328" t="s">
        <v>238</v>
      </c>
      <c r="E14" s="329" t="s">
        <v>32</v>
      </c>
      <c r="F14" s="328" t="s">
        <v>45</v>
      </c>
      <c r="G14" s="328" t="s">
        <v>22</v>
      </c>
      <c r="H14" s="93">
        <v>41455</v>
      </c>
      <c r="I14" s="328" t="s">
        <v>131</v>
      </c>
      <c r="J14" s="96">
        <v>26.62</v>
      </c>
      <c r="K14" s="96">
        <v>-9.4700000000000006</v>
      </c>
      <c r="L14" s="96">
        <v>17.149999999999999</v>
      </c>
      <c r="M14" s="96"/>
      <c r="N14" s="96"/>
      <c r="O14" s="96"/>
    </row>
    <row r="15" spans="1:131" ht="30" x14ac:dyDescent="0.25">
      <c r="A15" s="322" t="s">
        <v>8</v>
      </c>
      <c r="B15" s="322" t="s">
        <v>193</v>
      </c>
      <c r="C15" s="322" t="s">
        <v>239</v>
      </c>
      <c r="D15" s="322" t="s">
        <v>238</v>
      </c>
      <c r="E15" s="327" t="s">
        <v>32</v>
      </c>
      <c r="F15" s="327" t="s">
        <v>45</v>
      </c>
      <c r="G15" s="322" t="s">
        <v>22</v>
      </c>
      <c r="H15" s="85">
        <v>41820</v>
      </c>
      <c r="I15" s="322" t="s">
        <v>132</v>
      </c>
      <c r="J15" s="88">
        <v>17.329999999999998</v>
      </c>
      <c r="K15" s="88"/>
      <c r="L15" s="88">
        <v>17.329999999999998</v>
      </c>
      <c r="M15" s="88"/>
      <c r="N15" s="88"/>
      <c r="O15" s="88"/>
    </row>
    <row r="16" spans="1:131" ht="30" x14ac:dyDescent="0.25">
      <c r="A16" s="328" t="s">
        <v>8</v>
      </c>
      <c r="B16" s="328" t="s">
        <v>193</v>
      </c>
      <c r="C16" s="328" t="s">
        <v>239</v>
      </c>
      <c r="D16" s="328" t="s">
        <v>238</v>
      </c>
      <c r="E16" s="328" t="s">
        <v>32</v>
      </c>
      <c r="F16" s="328" t="s">
        <v>45</v>
      </c>
      <c r="G16" s="328" t="s">
        <v>22</v>
      </c>
      <c r="H16" s="385">
        <v>42185</v>
      </c>
      <c r="I16" s="328" t="s">
        <v>133</v>
      </c>
      <c r="J16" s="379">
        <v>12.72</v>
      </c>
      <c r="K16" s="379"/>
      <c r="L16" s="379">
        <v>12.72</v>
      </c>
      <c r="M16" s="379"/>
      <c r="N16" s="379"/>
      <c r="O16" s="379"/>
    </row>
    <row r="17" spans="1:15" ht="30" x14ac:dyDescent="0.25">
      <c r="A17" s="322" t="s">
        <v>8</v>
      </c>
      <c r="B17" s="322" t="s">
        <v>193</v>
      </c>
      <c r="C17" s="322" t="s">
        <v>239</v>
      </c>
      <c r="D17" s="322" t="s">
        <v>238</v>
      </c>
      <c r="E17" s="322" t="s">
        <v>32</v>
      </c>
      <c r="F17" s="322" t="s">
        <v>45</v>
      </c>
      <c r="G17" s="322" t="s">
        <v>22</v>
      </c>
      <c r="H17" s="386">
        <v>42551</v>
      </c>
      <c r="I17" s="322" t="s">
        <v>300</v>
      </c>
      <c r="J17" s="380">
        <v>0.26</v>
      </c>
      <c r="K17" s="380"/>
      <c r="L17" s="380">
        <v>0.26</v>
      </c>
      <c r="M17" s="380"/>
      <c r="N17" s="380"/>
      <c r="O17" s="380"/>
    </row>
    <row r="18" spans="1:15" ht="15" x14ac:dyDescent="0.25">
      <c r="A18" s="328"/>
      <c r="B18" s="328"/>
      <c r="C18" s="328"/>
      <c r="D18" s="328"/>
      <c r="E18" s="328"/>
      <c r="F18" s="328"/>
      <c r="G18" s="328"/>
      <c r="H18" s="385" t="s">
        <v>206</v>
      </c>
      <c r="I18" s="328"/>
      <c r="J18" s="379">
        <v>56.93</v>
      </c>
      <c r="K18" s="379">
        <v>-9.4700000000000006</v>
      </c>
      <c r="L18" s="379">
        <v>47.459999999999994</v>
      </c>
      <c r="M18" s="379">
        <v>39.416812999999991</v>
      </c>
      <c r="N18" s="379">
        <v>8.0431869999999996</v>
      </c>
      <c r="O18" s="379">
        <v>35</v>
      </c>
    </row>
    <row r="19" spans="1:15" ht="15" x14ac:dyDescent="0.25">
      <c r="A19" s="181" t="s">
        <v>295</v>
      </c>
      <c r="B19" s="181"/>
      <c r="C19" s="181"/>
      <c r="D19" s="181"/>
      <c r="E19" s="182"/>
      <c r="F19" s="181"/>
      <c r="G19" s="181"/>
      <c r="H19" s="183"/>
      <c r="I19" s="181"/>
      <c r="J19" s="354"/>
      <c r="K19" s="354"/>
      <c r="L19" s="354"/>
      <c r="M19" s="354"/>
      <c r="N19" s="354"/>
      <c r="O19" s="354"/>
    </row>
    <row r="20" spans="1:15" ht="15" x14ac:dyDescent="0.25">
      <c r="A20" s="181"/>
      <c r="B20" s="181"/>
      <c r="C20" s="181"/>
      <c r="D20" s="181"/>
      <c r="E20" s="182"/>
      <c r="F20" s="181"/>
      <c r="G20" s="181"/>
      <c r="H20" s="183"/>
      <c r="I20" s="181"/>
      <c r="J20" s="354"/>
      <c r="K20" s="354"/>
      <c r="L20" s="354"/>
      <c r="M20" s="354"/>
      <c r="N20" s="354"/>
      <c r="O20" s="354"/>
    </row>
    <row r="21" spans="1:15" ht="15" x14ac:dyDescent="0.25">
      <c r="A21" s="184" t="s">
        <v>198</v>
      </c>
      <c r="B21" s="184"/>
      <c r="C21" s="185"/>
      <c r="D21" s="185"/>
      <c r="E21" s="184"/>
      <c r="F21" s="184"/>
      <c r="G21" s="184"/>
      <c r="H21" s="383"/>
      <c r="I21" s="184"/>
      <c r="J21" s="459"/>
      <c r="K21" s="459"/>
      <c r="L21" s="459"/>
      <c r="M21" s="459"/>
      <c r="N21" s="459"/>
      <c r="O21" s="186"/>
    </row>
    <row r="22" spans="1:15" ht="30" x14ac:dyDescent="0.25">
      <c r="A22" s="328" t="s">
        <v>8</v>
      </c>
      <c r="B22" s="328" t="s">
        <v>7</v>
      </c>
      <c r="C22" s="328" t="s">
        <v>27</v>
      </c>
      <c r="D22" s="328" t="s">
        <v>127</v>
      </c>
      <c r="E22" s="328" t="s">
        <v>33</v>
      </c>
      <c r="F22" s="328" t="s">
        <v>45</v>
      </c>
      <c r="G22" s="328" t="s">
        <v>22</v>
      </c>
      <c r="H22" s="385">
        <v>41455</v>
      </c>
      <c r="I22" s="328" t="s">
        <v>137</v>
      </c>
      <c r="J22" s="379">
        <v>5.2490547599999999</v>
      </c>
      <c r="K22" s="379">
        <v>-3.0415467200000004</v>
      </c>
      <c r="L22" s="379">
        <v>2.2075080399999996</v>
      </c>
      <c r="M22" s="379"/>
      <c r="N22" s="379"/>
      <c r="O22" s="379"/>
    </row>
    <row r="23" spans="1:15" ht="30" x14ac:dyDescent="0.25">
      <c r="A23" s="322" t="s">
        <v>84</v>
      </c>
      <c r="B23" s="322" t="s">
        <v>7</v>
      </c>
      <c r="C23" s="322" t="s">
        <v>92</v>
      </c>
      <c r="D23" s="322" t="s">
        <v>128</v>
      </c>
      <c r="E23" s="322" t="s">
        <v>33</v>
      </c>
      <c r="F23" s="322" t="s">
        <v>45</v>
      </c>
      <c r="G23" s="322" t="s">
        <v>22</v>
      </c>
      <c r="H23" s="386">
        <v>41455</v>
      </c>
      <c r="I23" s="322" t="s">
        <v>137</v>
      </c>
      <c r="J23" s="380">
        <v>0.78420411999999995</v>
      </c>
      <c r="K23" s="380">
        <v>-2.6344919999999997E-2</v>
      </c>
      <c r="L23" s="380">
        <v>0.75785919999999996</v>
      </c>
      <c r="M23" s="380"/>
      <c r="N23" s="380"/>
      <c r="O23" s="380"/>
    </row>
    <row r="24" spans="1:15" ht="30" x14ac:dyDescent="0.25">
      <c r="A24" s="328" t="s">
        <v>84</v>
      </c>
      <c r="B24" s="328" t="s">
        <v>7</v>
      </c>
      <c r="C24" s="328" t="s">
        <v>27</v>
      </c>
      <c r="D24" s="328" t="s">
        <v>127</v>
      </c>
      <c r="E24" s="328" t="s">
        <v>33</v>
      </c>
      <c r="F24" s="328" t="s">
        <v>45</v>
      </c>
      <c r="G24" s="328" t="s">
        <v>22</v>
      </c>
      <c r="H24" s="385">
        <v>41820</v>
      </c>
      <c r="I24" s="328" t="s">
        <v>138</v>
      </c>
      <c r="J24" s="379">
        <v>0.92112859999999996</v>
      </c>
      <c r="K24" s="379">
        <v>0</v>
      </c>
      <c r="L24" s="379">
        <v>0.92112859999999996</v>
      </c>
      <c r="M24" s="379"/>
      <c r="N24" s="379"/>
      <c r="O24" s="379"/>
    </row>
    <row r="25" spans="1:15" ht="30" x14ac:dyDescent="0.25">
      <c r="A25" s="322" t="s">
        <v>8</v>
      </c>
      <c r="B25" s="322" t="s">
        <v>7</v>
      </c>
      <c r="C25" s="322" t="s">
        <v>92</v>
      </c>
      <c r="D25" s="322" t="s">
        <v>128</v>
      </c>
      <c r="E25" s="322" t="s">
        <v>33</v>
      </c>
      <c r="F25" s="322" t="s">
        <v>45</v>
      </c>
      <c r="G25" s="322" t="s">
        <v>22</v>
      </c>
      <c r="H25" s="386">
        <v>41820</v>
      </c>
      <c r="I25" s="322" t="s">
        <v>138</v>
      </c>
      <c r="J25" s="380">
        <v>2.7230235199999999</v>
      </c>
      <c r="K25" s="380">
        <v>0</v>
      </c>
      <c r="L25" s="380">
        <v>2.7230235199999999</v>
      </c>
      <c r="M25" s="380"/>
      <c r="N25" s="380"/>
      <c r="O25" s="380"/>
    </row>
    <row r="26" spans="1:15" ht="30" x14ac:dyDescent="0.25">
      <c r="A26" s="328" t="s">
        <v>8</v>
      </c>
      <c r="B26" s="328" t="s">
        <v>7</v>
      </c>
      <c r="C26" s="328" t="s">
        <v>27</v>
      </c>
      <c r="D26" s="328" t="s">
        <v>127</v>
      </c>
      <c r="E26" s="328" t="s">
        <v>33</v>
      </c>
      <c r="F26" s="328" t="s">
        <v>45</v>
      </c>
      <c r="G26" s="328" t="s">
        <v>22</v>
      </c>
      <c r="H26" s="385">
        <v>42185</v>
      </c>
      <c r="I26" s="328" t="s">
        <v>139</v>
      </c>
      <c r="J26" s="379"/>
      <c r="K26" s="379">
        <v>0</v>
      </c>
      <c r="L26" s="379">
        <v>0</v>
      </c>
      <c r="M26" s="379"/>
      <c r="N26" s="379"/>
      <c r="O26" s="379"/>
    </row>
    <row r="27" spans="1:15" ht="30" x14ac:dyDescent="0.25">
      <c r="A27" s="322" t="s">
        <v>8</v>
      </c>
      <c r="B27" s="322" t="s">
        <v>7</v>
      </c>
      <c r="C27" s="322" t="s">
        <v>92</v>
      </c>
      <c r="D27" s="322" t="s">
        <v>128</v>
      </c>
      <c r="E27" s="322" t="s">
        <v>33</v>
      </c>
      <c r="F27" s="322" t="s">
        <v>45</v>
      </c>
      <c r="G27" s="322" t="s">
        <v>22</v>
      </c>
      <c r="H27" s="386">
        <v>42185</v>
      </c>
      <c r="I27" s="322" t="s">
        <v>139</v>
      </c>
      <c r="J27" s="380">
        <v>1.5495680000000001</v>
      </c>
      <c r="K27" s="380">
        <v>0</v>
      </c>
      <c r="L27" s="380">
        <v>1.5495680000000001</v>
      </c>
      <c r="M27" s="380"/>
      <c r="N27" s="380"/>
      <c r="O27" s="380"/>
    </row>
    <row r="28" spans="1:15" ht="30" x14ac:dyDescent="0.25">
      <c r="A28" s="328" t="s">
        <v>8</v>
      </c>
      <c r="B28" s="328" t="s">
        <v>7</v>
      </c>
      <c r="C28" s="328" t="s">
        <v>27</v>
      </c>
      <c r="D28" s="328" t="s">
        <v>127</v>
      </c>
      <c r="E28" s="328" t="s">
        <v>33</v>
      </c>
      <c r="F28" s="328" t="s">
        <v>45</v>
      </c>
      <c r="G28" s="328" t="s">
        <v>22</v>
      </c>
      <c r="H28" s="385">
        <v>42551</v>
      </c>
      <c r="I28" s="328" t="s">
        <v>301</v>
      </c>
      <c r="J28" s="379"/>
      <c r="K28" s="379">
        <v>0</v>
      </c>
      <c r="L28" s="379">
        <v>0</v>
      </c>
      <c r="M28" s="379"/>
      <c r="N28" s="379"/>
      <c r="O28" s="379"/>
    </row>
    <row r="29" spans="1:15" ht="30" x14ac:dyDescent="0.25">
      <c r="A29" s="322" t="s">
        <v>8</v>
      </c>
      <c r="B29" s="322" t="s">
        <v>7</v>
      </c>
      <c r="C29" s="322" t="s">
        <v>92</v>
      </c>
      <c r="D29" s="322" t="s">
        <v>128</v>
      </c>
      <c r="E29" s="322" t="s">
        <v>33</v>
      </c>
      <c r="F29" s="322" t="s">
        <v>45</v>
      </c>
      <c r="G29" s="322" t="s">
        <v>22</v>
      </c>
      <c r="H29" s="386">
        <v>42551</v>
      </c>
      <c r="I29" s="322" t="s">
        <v>301</v>
      </c>
      <c r="J29" s="380">
        <v>0.71745599999999998</v>
      </c>
      <c r="K29" s="380">
        <v>0</v>
      </c>
      <c r="L29" s="380">
        <v>0.71745599999999998</v>
      </c>
      <c r="M29" s="380"/>
      <c r="N29" s="380"/>
      <c r="O29" s="380"/>
    </row>
    <row r="30" spans="1:15" ht="30" x14ac:dyDescent="0.25">
      <c r="A30" s="328" t="s">
        <v>296</v>
      </c>
      <c r="B30" s="328"/>
      <c r="C30" s="328"/>
      <c r="D30" s="328"/>
      <c r="E30" s="328"/>
      <c r="F30" s="328"/>
      <c r="G30" s="328"/>
      <c r="H30" s="385" t="s">
        <v>206</v>
      </c>
      <c r="I30" s="328"/>
      <c r="J30" s="379">
        <v>11.944435</v>
      </c>
      <c r="K30" s="379">
        <v>-3.0678916400000005</v>
      </c>
      <c r="L30" s="379">
        <v>8.8765433599999994</v>
      </c>
      <c r="M30" s="379">
        <v>8.7852659539999998</v>
      </c>
      <c r="N30" s="379">
        <v>9.1277405999999478E-2</v>
      </c>
      <c r="O30" s="379"/>
    </row>
    <row r="31" spans="1:15" ht="15" x14ac:dyDescent="0.25">
      <c r="A31" s="322"/>
      <c r="B31" s="322"/>
      <c r="C31" s="322"/>
      <c r="D31" s="322"/>
      <c r="E31" s="322"/>
      <c r="F31" s="322"/>
      <c r="G31" s="322"/>
      <c r="H31" s="386"/>
      <c r="I31" s="322"/>
      <c r="J31" s="380"/>
      <c r="K31" s="380"/>
      <c r="L31" s="380"/>
      <c r="M31" s="380"/>
      <c r="N31" s="380"/>
      <c r="O31" s="380"/>
    </row>
    <row r="32" spans="1:15" ht="30" x14ac:dyDescent="0.25">
      <c r="A32" s="181" t="s">
        <v>296</v>
      </c>
      <c r="B32" s="181"/>
      <c r="C32" s="181"/>
      <c r="D32" s="181"/>
      <c r="E32" s="182"/>
      <c r="F32" s="181"/>
      <c r="G32" s="181"/>
      <c r="H32" s="183" t="s">
        <v>206</v>
      </c>
      <c r="I32" s="181"/>
      <c r="J32" s="354"/>
      <c r="K32" s="354"/>
      <c r="L32" s="354"/>
      <c r="M32" s="354"/>
      <c r="N32" s="354"/>
      <c r="O32" s="354"/>
    </row>
    <row r="33" spans="1:15" ht="15" x14ac:dyDescent="0.25">
      <c r="A33" s="181"/>
      <c r="B33" s="181"/>
      <c r="C33" s="181"/>
      <c r="D33" s="181"/>
      <c r="E33" s="182"/>
      <c r="F33" s="181"/>
      <c r="G33" s="181"/>
      <c r="H33" s="183"/>
      <c r="I33" s="181"/>
      <c r="J33" s="354"/>
      <c r="K33" s="354"/>
      <c r="L33" s="354"/>
      <c r="M33" s="354"/>
      <c r="N33" s="354"/>
      <c r="O33" s="354"/>
    </row>
    <row r="34" spans="1:15" ht="15" x14ac:dyDescent="0.25">
      <c r="A34" s="184" t="s">
        <v>298</v>
      </c>
      <c r="B34" s="184"/>
      <c r="C34" s="185"/>
      <c r="D34" s="185"/>
      <c r="E34" s="184"/>
      <c r="F34" s="184"/>
      <c r="G34" s="184"/>
      <c r="H34" s="383"/>
      <c r="I34" s="184"/>
      <c r="J34" s="403"/>
      <c r="K34" s="403"/>
      <c r="L34" s="403"/>
      <c r="M34" s="403"/>
      <c r="N34" s="403"/>
      <c r="O34" s="404"/>
    </row>
    <row r="35" spans="1:15" ht="15" x14ac:dyDescent="0.25">
      <c r="A35" s="901">
        <v>1.08</v>
      </c>
      <c r="B35" s="902"/>
      <c r="C35" s="902"/>
      <c r="D35" s="902"/>
      <c r="E35" s="902"/>
      <c r="F35" s="902"/>
      <c r="G35" s="902"/>
      <c r="H35" s="902"/>
      <c r="I35" s="902"/>
      <c r="J35" s="902"/>
      <c r="K35" s="902"/>
      <c r="L35" s="902"/>
      <c r="M35" s="902"/>
      <c r="N35" s="902"/>
      <c r="O35" s="903"/>
    </row>
    <row r="36" spans="1:15" ht="60" x14ac:dyDescent="0.25">
      <c r="A36" s="176" t="s">
        <v>89</v>
      </c>
      <c r="B36" s="176" t="s">
        <v>90</v>
      </c>
      <c r="C36" s="177" t="s">
        <v>0</v>
      </c>
      <c r="D36" s="177" t="s">
        <v>124</v>
      </c>
      <c r="E36" s="176" t="s">
        <v>143</v>
      </c>
      <c r="F36" s="176" t="s">
        <v>144</v>
      </c>
      <c r="G36" s="176" t="s">
        <v>13</v>
      </c>
      <c r="H36" s="382" t="s">
        <v>88</v>
      </c>
      <c r="I36" s="176" t="s">
        <v>12</v>
      </c>
      <c r="J36" s="400" t="s">
        <v>200</v>
      </c>
      <c r="K36" s="400" t="s">
        <v>199</v>
      </c>
      <c r="L36" s="400" t="s">
        <v>201</v>
      </c>
      <c r="M36" s="400" t="s">
        <v>149</v>
      </c>
      <c r="N36" s="400" t="s">
        <v>179</v>
      </c>
      <c r="O36" s="400" t="s">
        <v>304</v>
      </c>
    </row>
    <row r="37" spans="1:15" ht="30" x14ac:dyDescent="0.25">
      <c r="A37" s="328" t="s">
        <v>84</v>
      </c>
      <c r="B37" s="328" t="s">
        <v>9</v>
      </c>
      <c r="C37" s="328" t="s">
        <v>183</v>
      </c>
      <c r="D37" s="328" t="s">
        <v>142</v>
      </c>
      <c r="E37" s="329" t="s">
        <v>142</v>
      </c>
      <c r="F37" s="328" t="s">
        <v>142</v>
      </c>
      <c r="G37" s="328" t="s">
        <v>22</v>
      </c>
      <c r="H37" s="93">
        <v>41449</v>
      </c>
      <c r="I37" s="328" t="s">
        <v>172</v>
      </c>
      <c r="J37" s="96">
        <v>7.0349999999999996E-2</v>
      </c>
      <c r="K37" s="96" t="s">
        <v>299</v>
      </c>
      <c r="L37" s="96">
        <v>7.0349999999999996E-2</v>
      </c>
      <c r="M37" s="96">
        <f>+O37*50000/1000000</f>
        <v>6.4894999999999994E-2</v>
      </c>
      <c r="N37" s="96">
        <f>IF(M37-L37&lt;0,0,M37-L37)</f>
        <v>0</v>
      </c>
      <c r="O37" s="96">
        <v>1.2979000000000001</v>
      </c>
    </row>
    <row r="38" spans="1:15" ht="30" x14ac:dyDescent="0.25">
      <c r="A38" s="111" t="s">
        <v>297</v>
      </c>
      <c r="B38" s="99"/>
      <c r="C38" s="2"/>
      <c r="D38" s="2"/>
      <c r="E38" s="2"/>
      <c r="F38" s="2"/>
      <c r="G38" s="2"/>
      <c r="I38" s="2"/>
      <c r="J38" s="293"/>
      <c r="K38" s="293"/>
      <c r="L38" s="144">
        <f>L37</f>
        <v>7.0349999999999996E-2</v>
      </c>
      <c r="M38" s="144">
        <f>M37</f>
        <v>6.4894999999999994E-2</v>
      </c>
      <c r="N38" s="144">
        <f>N37</f>
        <v>0</v>
      </c>
      <c r="O38" s="144">
        <f>O37</f>
        <v>1.2979000000000001</v>
      </c>
    </row>
    <row r="39" spans="1:15" ht="15" x14ac:dyDescent="0.25">
      <c r="A39" s="99"/>
      <c r="B39" s="99"/>
      <c r="C39" s="99"/>
      <c r="D39" s="99"/>
      <c r="E39" s="99"/>
      <c r="F39" s="99"/>
      <c r="G39" s="99"/>
      <c r="H39" s="388"/>
      <c r="I39" s="99"/>
      <c r="J39" s="144"/>
      <c r="K39" s="144"/>
      <c r="L39" s="144"/>
      <c r="M39" s="144"/>
      <c r="N39" s="144"/>
      <c r="O39" s="144"/>
    </row>
    <row r="40" spans="1:15" ht="15" x14ac:dyDescent="0.25">
      <c r="A40" s="99"/>
      <c r="B40" s="99"/>
      <c r="C40" s="99"/>
      <c r="D40" s="99"/>
      <c r="E40" s="99"/>
      <c r="F40" s="99"/>
      <c r="G40" s="99"/>
      <c r="H40" s="388"/>
      <c r="I40" s="99"/>
      <c r="J40" s="77"/>
      <c r="K40" s="144"/>
      <c r="L40" s="144"/>
      <c r="M40" s="77"/>
      <c r="N40" s="77"/>
      <c r="O40" s="77"/>
    </row>
    <row r="41" spans="1:15" ht="15" x14ac:dyDescent="0.25">
      <c r="A41" s="99"/>
      <c r="B41" s="99"/>
      <c r="C41" s="99"/>
      <c r="D41" s="99"/>
      <c r="E41" s="99"/>
      <c r="F41" s="99"/>
      <c r="G41" s="99"/>
      <c r="H41" s="388"/>
      <c r="I41" s="99"/>
      <c r="J41" s="77"/>
      <c r="K41" s="77"/>
      <c r="L41" s="77"/>
      <c r="M41" s="77"/>
      <c r="N41" s="77"/>
      <c r="O41" s="77"/>
    </row>
    <row r="42" spans="1:15" ht="15" x14ac:dyDescent="0.25">
      <c r="A42" s="99"/>
      <c r="B42" s="99"/>
      <c r="C42" s="99"/>
      <c r="D42" s="99"/>
      <c r="E42" s="99"/>
      <c r="F42" s="99"/>
      <c r="G42" s="99"/>
      <c r="H42" s="388"/>
      <c r="I42" s="99"/>
      <c r="J42" s="77"/>
      <c r="K42" s="77"/>
      <c r="L42" s="77"/>
      <c r="M42" s="77"/>
      <c r="N42" s="77"/>
      <c r="O42" s="77"/>
    </row>
    <row r="43" spans="1:15" ht="15" x14ac:dyDescent="0.25">
      <c r="A43" s="99"/>
      <c r="B43" s="99"/>
      <c r="C43" s="99"/>
      <c r="D43" s="99"/>
      <c r="E43" s="99"/>
      <c r="F43" s="99"/>
      <c r="G43" s="99"/>
      <c r="H43" s="388"/>
      <c r="I43" s="99"/>
      <c r="J43" s="77"/>
      <c r="K43" s="77"/>
      <c r="L43" s="77"/>
      <c r="M43" s="77"/>
      <c r="N43" s="77"/>
      <c r="O43" s="77"/>
    </row>
    <row r="44" spans="1:15" ht="15" x14ac:dyDescent="0.25">
      <c r="A44" s="99"/>
      <c r="B44" s="99"/>
      <c r="C44" s="99"/>
      <c r="D44" s="99"/>
      <c r="E44" s="99"/>
      <c r="F44" s="99"/>
      <c r="G44" s="99"/>
      <c r="H44" s="388"/>
      <c r="I44" s="99"/>
      <c r="J44" s="77"/>
      <c r="K44" s="77"/>
      <c r="L44" s="77"/>
      <c r="M44" s="77"/>
      <c r="N44" s="77"/>
      <c r="O44" s="77"/>
    </row>
    <row r="45" spans="1:15" ht="15" x14ac:dyDescent="0.25">
      <c r="A45" s="99"/>
      <c r="B45" s="99"/>
      <c r="C45" s="99"/>
      <c r="D45" s="99"/>
      <c r="E45" s="99"/>
      <c r="F45" s="99"/>
      <c r="G45" s="99"/>
      <c r="H45" s="388"/>
      <c r="I45" s="99"/>
      <c r="J45" s="77"/>
      <c r="K45" s="77"/>
      <c r="L45" s="77"/>
      <c r="M45" s="77"/>
      <c r="N45" s="77"/>
      <c r="O45" s="77"/>
    </row>
    <row r="46" spans="1:15" ht="15" x14ac:dyDescent="0.25">
      <c r="A46" s="99"/>
      <c r="B46" s="99"/>
      <c r="C46" s="99"/>
      <c r="D46" s="99"/>
      <c r="E46" s="99"/>
      <c r="F46" s="99"/>
      <c r="G46" s="99"/>
      <c r="H46" s="388"/>
      <c r="I46" s="99"/>
      <c r="J46" s="77"/>
      <c r="K46" s="77"/>
      <c r="L46" s="77"/>
      <c r="M46" s="77"/>
      <c r="N46" s="77"/>
      <c r="O46" s="77"/>
    </row>
    <row r="47" spans="1:15" ht="15.6" thickBot="1" x14ac:dyDescent="0.3">
      <c r="A47" s="904"/>
      <c r="B47" s="904"/>
      <c r="C47" s="904"/>
      <c r="D47" s="904"/>
      <c r="E47" s="904"/>
      <c r="F47" s="904"/>
      <c r="G47" s="904"/>
      <c r="H47" s="904"/>
      <c r="I47" s="904"/>
      <c r="J47" s="904"/>
      <c r="K47" s="904"/>
      <c r="L47" s="904"/>
      <c r="M47" s="904"/>
      <c r="N47" s="904"/>
      <c r="O47" s="904"/>
    </row>
    <row r="48" spans="1:15" ht="15.6" x14ac:dyDescent="0.3">
      <c r="A48" s="905"/>
      <c r="B48" s="905"/>
      <c r="C48" s="905"/>
      <c r="D48" s="905"/>
      <c r="E48" s="905"/>
      <c r="F48" s="905"/>
      <c r="G48" s="99"/>
      <c r="H48" s="388"/>
      <c r="I48" s="99"/>
      <c r="J48" s="77"/>
      <c r="K48" s="77"/>
      <c r="L48" s="77"/>
      <c r="M48" s="77"/>
      <c r="N48" s="77"/>
      <c r="O48" s="77"/>
    </row>
    <row r="49" spans="1:15" ht="15.6" x14ac:dyDescent="0.3">
      <c r="A49" s="202"/>
      <c r="B49" s="203"/>
      <c r="C49" s="203"/>
      <c r="D49" s="202"/>
      <c r="E49" s="202"/>
      <c r="F49" s="202"/>
      <c r="G49" s="99"/>
      <c r="H49" s="384"/>
      <c r="I49" s="99"/>
      <c r="J49" s="77"/>
      <c r="K49" s="77"/>
      <c r="L49" s="77"/>
      <c r="M49" s="77"/>
      <c r="N49" s="77"/>
      <c r="O49" s="77"/>
    </row>
    <row r="50" spans="1:15" ht="15" x14ac:dyDescent="0.25">
      <c r="A50" s="391"/>
      <c r="B50" s="391"/>
      <c r="C50" s="391"/>
      <c r="D50" s="391"/>
      <c r="E50" s="391"/>
      <c r="F50" s="391"/>
      <c r="G50" s="99"/>
      <c r="H50" s="388"/>
      <c r="I50" s="99"/>
      <c r="J50" s="77"/>
      <c r="K50" s="77"/>
      <c r="L50" s="77"/>
      <c r="M50" s="77"/>
      <c r="N50" s="77"/>
      <c r="O50" s="77"/>
    </row>
    <row r="51" spans="1:15" ht="15" x14ac:dyDescent="0.25">
      <c r="A51" s="395"/>
      <c r="B51" s="392"/>
      <c r="C51" s="392"/>
      <c r="D51" s="392"/>
      <c r="E51" s="392"/>
      <c r="F51" s="205"/>
      <c r="G51" s="99"/>
      <c r="H51" s="388"/>
      <c r="I51" s="99"/>
      <c r="J51" s="77"/>
      <c r="K51" s="77"/>
      <c r="L51" s="77"/>
      <c r="M51" s="77"/>
      <c r="N51" s="77"/>
      <c r="O51" s="77"/>
    </row>
    <row r="52" spans="1:15" ht="15" x14ac:dyDescent="0.25">
      <c r="A52" s="395"/>
      <c r="B52" s="392"/>
      <c r="C52" s="392"/>
      <c r="D52" s="392"/>
      <c r="E52" s="392"/>
      <c r="F52" s="205"/>
      <c r="G52" s="99"/>
      <c r="H52" s="388"/>
      <c r="I52" s="99"/>
      <c r="J52" s="77"/>
      <c r="K52" s="77"/>
      <c r="L52" s="77"/>
      <c r="M52" s="77"/>
      <c r="N52" s="77"/>
      <c r="O52" s="77"/>
    </row>
    <row r="53" spans="1:15" ht="15" x14ac:dyDescent="0.25">
      <c r="A53" s="391"/>
      <c r="B53" s="392"/>
      <c r="C53" s="392"/>
      <c r="D53" s="392"/>
      <c r="E53" s="392"/>
      <c r="F53" s="205"/>
      <c r="G53" s="99"/>
      <c r="H53" s="388"/>
      <c r="I53" s="99"/>
      <c r="J53" s="77"/>
      <c r="K53" s="77"/>
      <c r="L53" s="77"/>
      <c r="M53" s="77"/>
      <c r="N53" s="77"/>
      <c r="O53" s="77"/>
    </row>
    <row r="54" spans="1:15" ht="15" x14ac:dyDescent="0.25">
      <c r="A54" s="395"/>
      <c r="B54" s="392"/>
      <c r="C54" s="392"/>
      <c r="D54" s="392"/>
      <c r="E54" s="392"/>
      <c r="F54" s="205"/>
      <c r="G54" s="99"/>
      <c r="H54" s="388"/>
      <c r="I54" s="99"/>
      <c r="J54" s="77"/>
      <c r="K54" s="77"/>
      <c r="L54" s="77"/>
      <c r="M54" s="77"/>
      <c r="N54" s="77"/>
      <c r="O54" s="77"/>
    </row>
    <row r="55" spans="1:15" ht="15" x14ac:dyDescent="0.25">
      <c r="A55" s="391"/>
      <c r="B55" s="392"/>
      <c r="C55" s="392"/>
      <c r="D55" s="392"/>
      <c r="E55" s="392"/>
      <c r="F55" s="205"/>
      <c r="G55" s="99"/>
      <c r="H55" s="388"/>
      <c r="I55" s="99"/>
      <c r="J55" s="77"/>
      <c r="K55" s="77"/>
      <c r="L55" s="77"/>
      <c r="M55" s="77"/>
      <c r="N55" s="77"/>
      <c r="O55" s="77"/>
    </row>
    <row r="56" spans="1:15" ht="15" x14ac:dyDescent="0.25">
      <c r="A56" s="391"/>
      <c r="B56" s="392"/>
      <c r="C56" s="392"/>
      <c r="D56" s="392"/>
      <c r="E56" s="392"/>
      <c r="F56" s="205"/>
      <c r="G56" s="99"/>
      <c r="H56" s="388"/>
      <c r="I56" s="99"/>
      <c r="J56" s="77"/>
      <c r="K56" s="77"/>
      <c r="L56" s="77"/>
      <c r="M56" s="77"/>
      <c r="N56" s="77"/>
      <c r="O56" s="77"/>
    </row>
    <row r="57" spans="1:15" ht="16.8" x14ac:dyDescent="0.4">
      <c r="A57" s="391"/>
      <c r="B57" s="393"/>
      <c r="C57" s="393"/>
      <c r="D57" s="393"/>
      <c r="E57" s="393"/>
      <c r="F57" s="207"/>
      <c r="G57" s="99"/>
      <c r="H57" s="389"/>
      <c r="I57" s="99"/>
      <c r="J57" s="77"/>
      <c r="K57" s="77"/>
      <c r="L57" s="77"/>
      <c r="M57" s="77"/>
      <c r="N57" s="77"/>
      <c r="O57" s="77"/>
    </row>
    <row r="58" spans="1:15" ht="16.8" x14ac:dyDescent="0.4">
      <c r="A58" s="391"/>
      <c r="B58" s="394"/>
      <c r="C58" s="394"/>
      <c r="D58" s="394"/>
      <c r="E58" s="394"/>
      <c r="F58" s="210"/>
      <c r="G58" s="99"/>
      <c r="H58" s="390"/>
      <c r="I58" s="99"/>
      <c r="J58" s="77"/>
      <c r="K58" s="77"/>
      <c r="L58" s="77"/>
      <c r="M58" s="77"/>
      <c r="N58" s="77"/>
      <c r="O58" s="77"/>
    </row>
    <row r="59" spans="1:15" ht="15" x14ac:dyDescent="0.25">
      <c r="A59" s="391"/>
      <c r="B59" s="391"/>
      <c r="C59" s="391"/>
      <c r="D59" s="391"/>
      <c r="E59" s="391"/>
      <c r="F59" s="391"/>
      <c r="G59" s="99"/>
      <c r="H59" s="388"/>
      <c r="I59" s="99"/>
      <c r="J59" s="77"/>
      <c r="K59" s="77"/>
      <c r="L59" s="77"/>
      <c r="M59" s="77"/>
      <c r="N59" s="77"/>
      <c r="O59" s="77"/>
    </row>
    <row r="60" spans="1:15" ht="15" x14ac:dyDescent="0.25">
      <c r="A60" s="99"/>
      <c r="B60" s="99"/>
      <c r="C60" s="99"/>
      <c r="D60" s="99"/>
      <c r="E60" s="99"/>
      <c r="F60" s="99"/>
      <c r="G60" s="99"/>
      <c r="H60" s="388"/>
      <c r="I60" s="99"/>
      <c r="J60" s="77"/>
      <c r="K60" s="77"/>
      <c r="L60" s="77"/>
      <c r="M60" s="77"/>
      <c r="N60" s="77"/>
      <c r="O60" s="77"/>
    </row>
    <row r="61" spans="1:15" ht="15" x14ac:dyDescent="0.25">
      <c r="A61" s="99"/>
      <c r="B61" s="99"/>
      <c r="C61" s="99"/>
      <c r="D61" s="99"/>
      <c r="E61" s="99"/>
      <c r="F61" s="99"/>
      <c r="G61" s="99"/>
      <c r="H61" s="388"/>
      <c r="I61" s="99"/>
      <c r="J61" s="77"/>
      <c r="K61" s="77"/>
      <c r="L61" s="77"/>
      <c r="M61" s="77"/>
      <c r="N61" s="77"/>
      <c r="O61" s="77"/>
    </row>
    <row r="62" spans="1:15" ht="15" x14ac:dyDescent="0.25">
      <c r="A62" s="99"/>
      <c r="B62" s="99"/>
      <c r="C62" s="99"/>
      <c r="D62" s="99"/>
      <c r="E62" s="99"/>
      <c r="F62" s="99"/>
      <c r="G62" s="99"/>
      <c r="H62" s="388"/>
      <c r="I62" s="99"/>
      <c r="J62" s="77"/>
      <c r="K62" s="77"/>
      <c r="L62" s="77"/>
      <c r="M62" s="77"/>
      <c r="N62" s="77"/>
      <c r="O62" s="77"/>
    </row>
    <row r="63" spans="1:15" ht="15" x14ac:dyDescent="0.25">
      <c r="A63" s="99"/>
      <c r="B63" s="99"/>
      <c r="C63" s="99"/>
      <c r="D63" s="99"/>
      <c r="E63" s="99"/>
      <c r="F63" s="99"/>
      <c r="G63" s="99"/>
      <c r="H63" s="388"/>
      <c r="I63" s="99"/>
      <c r="J63" s="77"/>
      <c r="K63" s="77"/>
      <c r="L63" s="77"/>
      <c r="M63" s="77"/>
      <c r="N63" s="77"/>
      <c r="O63" s="77"/>
    </row>
    <row r="64" spans="1:15" ht="15" x14ac:dyDescent="0.25">
      <c r="A64" s="99"/>
      <c r="B64" s="99"/>
      <c r="C64" s="99"/>
      <c r="D64" s="99"/>
      <c r="E64" s="99"/>
      <c r="F64" s="99"/>
      <c r="G64" s="99"/>
      <c r="H64" s="388"/>
      <c r="I64" s="99"/>
      <c r="J64" s="77"/>
      <c r="K64" s="77"/>
      <c r="L64" s="77"/>
      <c r="M64" s="77"/>
      <c r="N64" s="77"/>
      <c r="O64" s="77"/>
    </row>
    <row r="65" spans="1:15" ht="15" x14ac:dyDescent="0.25">
      <c r="A65" s="99"/>
      <c r="B65" s="99"/>
      <c r="C65" s="99"/>
      <c r="D65" s="99"/>
      <c r="E65" s="99"/>
      <c r="F65" s="99"/>
      <c r="G65" s="99"/>
      <c r="H65" s="388"/>
      <c r="I65" s="99"/>
      <c r="J65" s="77"/>
      <c r="K65" s="77"/>
      <c r="L65" s="77"/>
      <c r="M65" s="77"/>
      <c r="N65" s="77"/>
      <c r="O65" s="77"/>
    </row>
    <row r="66" spans="1:15" ht="15" x14ac:dyDescent="0.25">
      <c r="A66" s="99"/>
      <c r="B66" s="99"/>
      <c r="C66" s="99"/>
      <c r="D66" s="99"/>
      <c r="E66" s="99"/>
      <c r="F66" s="99"/>
      <c r="G66" s="99"/>
      <c r="H66" s="388"/>
      <c r="I66" s="99"/>
      <c r="J66" s="77"/>
      <c r="K66" s="77"/>
      <c r="L66" s="77"/>
      <c r="M66" s="77"/>
      <c r="N66" s="77"/>
      <c r="O66" s="77"/>
    </row>
    <row r="67" spans="1:15" ht="15" x14ac:dyDescent="0.25">
      <c r="A67" s="99"/>
      <c r="B67" s="99"/>
      <c r="C67" s="99"/>
      <c r="D67" s="99"/>
      <c r="E67" s="99"/>
      <c r="F67" s="99"/>
      <c r="G67" s="99"/>
      <c r="H67" s="388"/>
      <c r="I67" s="99"/>
      <c r="J67" s="77"/>
      <c r="K67" s="77"/>
      <c r="L67" s="77"/>
      <c r="M67" s="77"/>
      <c r="N67" s="77"/>
      <c r="O67" s="77"/>
    </row>
    <row r="68" spans="1:15" ht="15" x14ac:dyDescent="0.25">
      <c r="A68" s="99"/>
      <c r="B68" s="99"/>
      <c r="C68" s="99"/>
      <c r="D68" s="99"/>
      <c r="E68" s="99"/>
      <c r="F68" s="99"/>
      <c r="G68" s="99"/>
      <c r="H68" s="388"/>
      <c r="I68" s="99"/>
      <c r="J68" s="77"/>
      <c r="K68" s="77"/>
      <c r="L68" s="77"/>
      <c r="M68" s="77"/>
      <c r="N68" s="77"/>
      <c r="O68" s="77"/>
    </row>
    <row r="69" spans="1:15" ht="15" x14ac:dyDescent="0.25">
      <c r="A69" s="99"/>
      <c r="B69" s="99"/>
      <c r="C69" s="99"/>
      <c r="D69" s="99"/>
      <c r="E69" s="99"/>
      <c r="F69" s="99"/>
      <c r="G69" s="99"/>
      <c r="H69" s="388"/>
      <c r="I69" s="99"/>
      <c r="J69" s="77"/>
      <c r="K69" s="77"/>
      <c r="L69" s="77"/>
      <c r="M69" s="77"/>
      <c r="N69" s="77"/>
      <c r="O69" s="77"/>
    </row>
    <row r="70" spans="1:15" ht="15" x14ac:dyDescent="0.25">
      <c r="A70" s="99"/>
      <c r="B70" s="99"/>
      <c r="C70" s="99"/>
      <c r="D70" s="99"/>
      <c r="E70" s="99"/>
      <c r="F70" s="99"/>
      <c r="G70" s="99"/>
      <c r="H70" s="388"/>
      <c r="I70" s="99"/>
      <c r="J70" s="77"/>
      <c r="K70" s="77"/>
      <c r="L70" s="77"/>
      <c r="M70" s="77"/>
      <c r="N70" s="77"/>
      <c r="O70" s="77"/>
    </row>
    <row r="71" spans="1:15" ht="15" x14ac:dyDescent="0.25">
      <c r="A71" s="99"/>
      <c r="B71" s="99"/>
      <c r="C71" s="99"/>
      <c r="D71" s="99"/>
      <c r="E71" s="99"/>
      <c r="F71" s="99"/>
      <c r="G71" s="99"/>
      <c r="H71" s="388"/>
      <c r="I71" s="99"/>
      <c r="J71" s="77"/>
      <c r="K71" s="77"/>
      <c r="L71" s="77"/>
      <c r="M71" s="77"/>
      <c r="N71" s="77"/>
      <c r="O71" s="77"/>
    </row>
    <row r="72" spans="1:15" ht="15" x14ac:dyDescent="0.25">
      <c r="A72" s="99"/>
      <c r="B72" s="99"/>
      <c r="C72" s="99"/>
      <c r="D72" s="99"/>
      <c r="E72" s="99"/>
      <c r="F72" s="99"/>
      <c r="G72" s="99"/>
      <c r="H72" s="388"/>
      <c r="I72" s="99"/>
      <c r="J72" s="77"/>
      <c r="K72" s="77"/>
      <c r="L72" s="77"/>
      <c r="M72" s="77"/>
      <c r="N72" s="77"/>
      <c r="O72" s="77"/>
    </row>
    <row r="73" spans="1:15" ht="15" x14ac:dyDescent="0.25">
      <c r="A73" s="99"/>
      <c r="B73" s="99"/>
      <c r="C73" s="99"/>
      <c r="D73" s="99"/>
      <c r="E73" s="99"/>
      <c r="F73" s="99"/>
      <c r="G73" s="99"/>
      <c r="H73" s="388"/>
      <c r="I73" s="99"/>
      <c r="J73" s="77"/>
      <c r="K73" s="77"/>
      <c r="L73" s="77"/>
      <c r="M73" s="77"/>
      <c r="N73" s="77"/>
      <c r="O73" s="77"/>
    </row>
    <row r="74" spans="1:15" ht="15" x14ac:dyDescent="0.25">
      <c r="A74" s="99"/>
      <c r="B74" s="99"/>
      <c r="C74" s="99"/>
      <c r="D74" s="99"/>
      <c r="E74" s="99"/>
      <c r="F74" s="99"/>
      <c r="G74" s="99"/>
      <c r="H74" s="388"/>
      <c r="I74" s="99"/>
      <c r="J74" s="77"/>
      <c r="K74" s="77"/>
      <c r="L74" s="77"/>
      <c r="M74" s="77"/>
      <c r="N74" s="77"/>
      <c r="O74" s="77"/>
    </row>
    <row r="75" spans="1:15" ht="15" x14ac:dyDescent="0.25">
      <c r="A75" s="99"/>
      <c r="B75" s="99"/>
      <c r="C75" s="99"/>
      <c r="D75" s="99"/>
      <c r="E75" s="99"/>
      <c r="F75" s="99"/>
      <c r="G75" s="99"/>
      <c r="H75" s="388"/>
      <c r="I75" s="99"/>
      <c r="J75" s="77"/>
      <c r="K75" s="77"/>
      <c r="L75" s="77"/>
      <c r="M75" s="77"/>
      <c r="N75" s="77"/>
      <c r="O75" s="77"/>
    </row>
    <row r="76" spans="1:15" ht="15" x14ac:dyDescent="0.25">
      <c r="A76" s="99"/>
      <c r="B76" s="99"/>
      <c r="C76" s="99"/>
      <c r="D76" s="99"/>
      <c r="E76" s="99"/>
      <c r="F76" s="99"/>
      <c r="G76" s="99"/>
      <c r="H76" s="388"/>
      <c r="I76" s="99"/>
      <c r="J76" s="77"/>
      <c r="K76" s="77"/>
      <c r="L76" s="77"/>
      <c r="M76" s="77"/>
      <c r="N76" s="77"/>
      <c r="O76" s="77"/>
    </row>
    <row r="77" spans="1:15" ht="15" x14ac:dyDescent="0.25">
      <c r="A77" s="99"/>
      <c r="B77" s="99"/>
      <c r="C77" s="99"/>
      <c r="D77" s="99"/>
      <c r="E77" s="99"/>
      <c r="F77" s="99"/>
      <c r="G77" s="99"/>
      <c r="H77" s="388"/>
      <c r="I77" s="99"/>
      <c r="J77" s="77"/>
      <c r="K77" s="77"/>
      <c r="L77" s="77"/>
      <c r="M77" s="77"/>
      <c r="N77" s="77"/>
      <c r="O77" s="77"/>
    </row>
    <row r="78" spans="1:15" ht="15" x14ac:dyDescent="0.25">
      <c r="A78" s="99"/>
      <c r="B78" s="99"/>
      <c r="C78" s="99"/>
      <c r="D78" s="99"/>
      <c r="E78" s="99"/>
      <c r="F78" s="99"/>
      <c r="G78" s="99"/>
      <c r="H78" s="388"/>
      <c r="I78" s="99"/>
      <c r="J78" s="77"/>
      <c r="K78" s="77"/>
      <c r="L78" s="77"/>
      <c r="M78" s="77"/>
      <c r="N78" s="77"/>
      <c r="O78" s="77"/>
    </row>
    <row r="79" spans="1:15" ht="15" x14ac:dyDescent="0.25">
      <c r="A79" s="99"/>
      <c r="B79" s="99"/>
      <c r="C79" s="99"/>
      <c r="D79" s="99"/>
      <c r="E79" s="99"/>
      <c r="F79" s="99"/>
      <c r="G79" s="99"/>
      <c r="H79" s="388"/>
      <c r="I79" s="99"/>
      <c r="J79" s="77"/>
      <c r="K79" s="77"/>
      <c r="L79" s="77"/>
      <c r="M79" s="77"/>
      <c r="N79" s="77"/>
      <c r="O79" s="77"/>
    </row>
    <row r="80" spans="1:15" ht="15" x14ac:dyDescent="0.25">
      <c r="A80" s="99"/>
      <c r="B80" s="99"/>
      <c r="C80" s="99"/>
      <c r="D80" s="99"/>
      <c r="E80" s="99"/>
      <c r="F80" s="99"/>
      <c r="G80" s="99"/>
      <c r="H80" s="388"/>
      <c r="I80" s="99"/>
      <c r="J80" s="77"/>
      <c r="K80" s="77"/>
      <c r="L80" s="77"/>
      <c r="M80" s="77"/>
      <c r="N80" s="77"/>
      <c r="O80" s="77"/>
    </row>
    <row r="81" spans="1:15" ht="15" x14ac:dyDescent="0.25">
      <c r="A81" s="99"/>
      <c r="B81" s="99"/>
      <c r="C81" s="99"/>
      <c r="D81" s="99"/>
      <c r="E81" s="99"/>
      <c r="F81" s="99"/>
      <c r="G81" s="99"/>
      <c r="H81" s="388"/>
      <c r="I81" s="99"/>
      <c r="J81" s="77"/>
      <c r="K81" s="77"/>
      <c r="L81" s="77"/>
      <c r="M81" s="77"/>
      <c r="N81" s="77"/>
      <c r="O81" s="77"/>
    </row>
    <row r="82" spans="1:15" ht="15" x14ac:dyDescent="0.25">
      <c r="A82" s="99"/>
      <c r="B82" s="99"/>
      <c r="C82" s="99"/>
      <c r="D82" s="99"/>
      <c r="E82" s="99"/>
      <c r="F82" s="99"/>
      <c r="G82" s="99"/>
      <c r="H82" s="388"/>
      <c r="I82" s="99"/>
      <c r="J82" s="77"/>
      <c r="K82" s="77"/>
      <c r="L82" s="77"/>
      <c r="M82" s="77"/>
      <c r="N82" s="77"/>
      <c r="O82" s="77"/>
    </row>
    <row r="83" spans="1:15" ht="15" x14ac:dyDescent="0.25">
      <c r="A83" s="99"/>
      <c r="B83" s="99"/>
      <c r="C83" s="99"/>
      <c r="D83" s="99"/>
      <c r="E83" s="99"/>
      <c r="F83" s="99"/>
      <c r="G83" s="99"/>
      <c r="H83" s="388"/>
      <c r="I83" s="99"/>
      <c r="J83" s="77"/>
      <c r="K83" s="77"/>
      <c r="L83" s="77"/>
      <c r="M83" s="77"/>
      <c r="N83" s="77"/>
      <c r="O83" s="77"/>
    </row>
    <row r="84" spans="1:15" ht="15" x14ac:dyDescent="0.25">
      <c r="A84" s="99"/>
      <c r="B84" s="99"/>
      <c r="C84" s="99"/>
      <c r="D84" s="99"/>
      <c r="E84" s="99"/>
      <c r="F84" s="99"/>
      <c r="G84" s="99"/>
      <c r="H84" s="388"/>
      <c r="I84" s="99"/>
      <c r="J84" s="77"/>
      <c r="K84" s="77"/>
      <c r="L84" s="77"/>
      <c r="M84" s="77"/>
      <c r="N84" s="77"/>
      <c r="O84" s="77"/>
    </row>
    <row r="85" spans="1:15" ht="15" x14ac:dyDescent="0.25">
      <c r="A85" s="99"/>
      <c r="B85" s="99"/>
      <c r="C85" s="99"/>
      <c r="D85" s="99"/>
      <c r="E85" s="99"/>
      <c r="F85" s="99"/>
      <c r="G85" s="99"/>
      <c r="H85" s="388"/>
      <c r="I85" s="99"/>
      <c r="J85" s="77"/>
      <c r="K85" s="77"/>
      <c r="L85" s="77"/>
      <c r="M85" s="77"/>
      <c r="N85" s="77"/>
      <c r="O85" s="77"/>
    </row>
    <row r="86" spans="1:15" ht="15" x14ac:dyDescent="0.25">
      <c r="A86" s="99"/>
      <c r="B86" s="99"/>
      <c r="C86" s="99"/>
      <c r="D86" s="99"/>
      <c r="E86" s="99"/>
      <c r="F86" s="99"/>
      <c r="G86" s="99"/>
      <c r="H86" s="388"/>
      <c r="I86" s="99"/>
      <c r="J86" s="77"/>
      <c r="K86" s="77"/>
      <c r="L86" s="77"/>
      <c r="M86" s="77"/>
      <c r="N86" s="77"/>
      <c r="O86" s="77"/>
    </row>
    <row r="87" spans="1:15" ht="15" x14ac:dyDescent="0.25">
      <c r="A87" s="99"/>
      <c r="B87" s="99"/>
      <c r="C87" s="99"/>
      <c r="D87" s="99"/>
      <c r="E87" s="99"/>
      <c r="F87" s="99"/>
      <c r="G87" s="99"/>
      <c r="H87" s="388"/>
      <c r="I87" s="99"/>
      <c r="J87" s="77"/>
      <c r="K87" s="77"/>
      <c r="L87" s="77"/>
      <c r="M87" s="77"/>
      <c r="N87" s="77"/>
      <c r="O87" s="77"/>
    </row>
    <row r="88" spans="1:15" ht="15" x14ac:dyDescent="0.25">
      <c r="A88" s="99"/>
      <c r="B88" s="99"/>
      <c r="C88" s="99"/>
      <c r="D88" s="99"/>
      <c r="E88" s="99"/>
      <c r="F88" s="99"/>
      <c r="G88" s="99"/>
      <c r="H88" s="388"/>
      <c r="I88" s="99"/>
      <c r="J88" s="77"/>
      <c r="K88" s="77"/>
      <c r="L88" s="77"/>
      <c r="M88" s="77"/>
      <c r="N88" s="77"/>
      <c r="O88" s="77"/>
    </row>
    <row r="89" spans="1:15" ht="15" x14ac:dyDescent="0.25">
      <c r="A89" s="99"/>
      <c r="B89" s="99"/>
      <c r="C89" s="99"/>
      <c r="D89" s="99"/>
      <c r="E89" s="99"/>
      <c r="F89" s="99"/>
      <c r="G89" s="99"/>
      <c r="H89" s="388"/>
      <c r="I89" s="99"/>
      <c r="J89" s="77"/>
      <c r="K89" s="77"/>
      <c r="L89" s="77"/>
      <c r="M89" s="77"/>
      <c r="N89" s="77"/>
      <c r="O89" s="77"/>
    </row>
    <row r="90" spans="1:15" ht="15" x14ac:dyDescent="0.25">
      <c r="A90" s="99"/>
      <c r="B90" s="99"/>
      <c r="C90" s="99"/>
      <c r="D90" s="99"/>
      <c r="E90" s="99"/>
      <c r="F90" s="99"/>
      <c r="G90" s="99"/>
      <c r="H90" s="388"/>
      <c r="I90" s="99"/>
      <c r="J90" s="77"/>
      <c r="K90" s="77"/>
      <c r="L90" s="77"/>
      <c r="M90" s="77"/>
      <c r="N90" s="77"/>
      <c r="O90" s="77"/>
    </row>
    <row r="91" spans="1:15" ht="15" x14ac:dyDescent="0.25">
      <c r="A91" s="99"/>
      <c r="B91" s="99"/>
      <c r="C91" s="99"/>
      <c r="D91" s="99"/>
      <c r="E91" s="99"/>
      <c r="F91" s="99"/>
      <c r="G91" s="99"/>
      <c r="H91" s="388"/>
      <c r="I91" s="99"/>
      <c r="J91" s="77"/>
      <c r="K91" s="77"/>
      <c r="L91" s="77"/>
      <c r="M91" s="77"/>
      <c r="N91" s="77"/>
      <c r="O91" s="77"/>
    </row>
    <row r="92" spans="1:15" ht="15" x14ac:dyDescent="0.25">
      <c r="A92" s="99"/>
      <c r="B92" s="99"/>
      <c r="C92" s="99"/>
      <c r="D92" s="99"/>
      <c r="E92" s="99"/>
      <c r="F92" s="99"/>
      <c r="G92" s="99"/>
      <c r="H92" s="388"/>
      <c r="I92" s="99"/>
      <c r="J92" s="77"/>
      <c r="K92" s="77"/>
      <c r="L92" s="77"/>
      <c r="M92" s="77"/>
      <c r="N92" s="77"/>
      <c r="O92" s="77"/>
    </row>
    <row r="93" spans="1:15" ht="15" x14ac:dyDescent="0.25">
      <c r="A93" s="99"/>
      <c r="B93" s="99"/>
      <c r="C93" s="99"/>
      <c r="D93" s="99"/>
      <c r="E93" s="99"/>
      <c r="F93" s="99"/>
      <c r="G93" s="99"/>
      <c r="H93" s="388"/>
      <c r="I93" s="99"/>
      <c r="J93" s="77"/>
      <c r="K93" s="77"/>
      <c r="L93" s="77"/>
      <c r="M93" s="77"/>
      <c r="N93" s="77"/>
      <c r="O93" s="77"/>
    </row>
    <row r="94" spans="1:15" ht="15" x14ac:dyDescent="0.25">
      <c r="A94" s="99"/>
      <c r="B94" s="99"/>
      <c r="C94" s="99"/>
      <c r="D94" s="99"/>
      <c r="E94" s="99"/>
      <c r="F94" s="99"/>
      <c r="G94" s="99"/>
      <c r="H94" s="388"/>
      <c r="I94" s="99"/>
      <c r="J94" s="77"/>
      <c r="K94" s="77"/>
      <c r="L94" s="77"/>
      <c r="M94" s="77"/>
      <c r="N94" s="77"/>
      <c r="O94" s="77"/>
    </row>
    <row r="95" spans="1:15" ht="15" x14ac:dyDescent="0.25">
      <c r="A95" s="99"/>
      <c r="B95" s="99"/>
      <c r="C95" s="99"/>
      <c r="D95" s="99"/>
      <c r="E95" s="99"/>
      <c r="F95" s="99"/>
      <c r="G95" s="99"/>
      <c r="H95" s="388"/>
      <c r="I95" s="99"/>
      <c r="J95" s="77"/>
      <c r="K95" s="77"/>
      <c r="L95" s="77"/>
      <c r="M95" s="77"/>
      <c r="N95" s="77"/>
      <c r="O95" s="77"/>
    </row>
    <row r="96" spans="1:15" ht="15" x14ac:dyDescent="0.25">
      <c r="A96" s="99"/>
      <c r="B96" s="99"/>
      <c r="C96" s="99"/>
      <c r="D96" s="99"/>
      <c r="E96" s="99"/>
      <c r="F96" s="99"/>
      <c r="G96" s="99"/>
      <c r="H96" s="388"/>
      <c r="I96" s="99"/>
      <c r="J96" s="77"/>
      <c r="K96" s="77"/>
      <c r="L96" s="77"/>
      <c r="M96" s="77"/>
      <c r="N96" s="77"/>
      <c r="O96" s="77"/>
    </row>
    <row r="97" spans="1:15" ht="15" x14ac:dyDescent="0.25">
      <c r="A97" s="99"/>
      <c r="B97" s="99"/>
      <c r="C97" s="99"/>
      <c r="D97" s="99"/>
      <c r="E97" s="99"/>
      <c r="F97" s="99"/>
      <c r="G97" s="99"/>
      <c r="H97" s="388"/>
      <c r="I97" s="99"/>
      <c r="J97" s="77"/>
      <c r="K97" s="77"/>
      <c r="L97" s="77"/>
      <c r="M97" s="77"/>
      <c r="N97" s="77"/>
      <c r="O97" s="77"/>
    </row>
    <row r="98" spans="1:15" ht="15" x14ac:dyDescent="0.25">
      <c r="A98" s="99"/>
      <c r="B98" s="99"/>
      <c r="C98" s="99"/>
      <c r="D98" s="99"/>
      <c r="E98" s="99"/>
      <c r="F98" s="99"/>
      <c r="G98" s="99"/>
      <c r="H98" s="388"/>
      <c r="I98" s="99"/>
      <c r="J98" s="77"/>
      <c r="K98" s="77"/>
      <c r="L98" s="77"/>
      <c r="M98" s="77"/>
      <c r="N98" s="77"/>
      <c r="O98" s="77"/>
    </row>
    <row r="99" spans="1:15" ht="15" x14ac:dyDescent="0.25">
      <c r="A99" s="99"/>
      <c r="B99" s="99"/>
      <c r="C99" s="99"/>
      <c r="D99" s="99"/>
      <c r="E99" s="99"/>
      <c r="F99" s="99"/>
      <c r="G99" s="99"/>
      <c r="H99" s="388"/>
      <c r="I99" s="99"/>
      <c r="J99" s="77"/>
      <c r="K99" s="77"/>
      <c r="L99" s="77"/>
      <c r="M99" s="77"/>
      <c r="N99" s="77"/>
      <c r="O99" s="77"/>
    </row>
    <row r="100" spans="1:15" ht="15.6" thickBot="1" x14ac:dyDescent="0.3">
      <c r="A100" s="99"/>
      <c r="B100" s="99"/>
      <c r="C100" s="99"/>
      <c r="D100" s="99"/>
      <c r="E100" s="99"/>
      <c r="F100" s="99"/>
      <c r="G100" s="99"/>
      <c r="H100" s="388"/>
      <c r="I100" s="99"/>
      <c r="J100" s="77"/>
      <c r="K100" s="77"/>
      <c r="L100" s="77"/>
      <c r="M100" s="77"/>
      <c r="N100" s="77"/>
      <c r="O100" s="77"/>
    </row>
    <row r="101" spans="1:15" ht="15" x14ac:dyDescent="0.25">
      <c r="A101" s="894" t="s">
        <v>195</v>
      </c>
      <c r="B101" s="895"/>
      <c r="C101" s="895"/>
      <c r="D101" s="895"/>
      <c r="E101" s="895"/>
      <c r="F101" s="896"/>
      <c r="G101" s="99"/>
      <c r="H101" s="388"/>
      <c r="I101" s="99"/>
      <c r="J101" s="77"/>
      <c r="K101" s="77"/>
      <c r="L101" s="77"/>
      <c r="M101" s="77"/>
      <c r="N101" s="77"/>
      <c r="O101" s="77"/>
    </row>
    <row r="102" spans="1:15" ht="15.6" thickBot="1" x14ac:dyDescent="0.3">
      <c r="A102" s="897"/>
      <c r="B102" s="898"/>
      <c r="C102" s="898"/>
      <c r="D102" s="898"/>
      <c r="E102" s="898"/>
      <c r="F102" s="899"/>
      <c r="G102" s="99"/>
      <c r="H102" s="388"/>
      <c r="I102" s="99"/>
      <c r="J102" s="77"/>
      <c r="K102" s="77"/>
      <c r="L102" s="77"/>
      <c r="M102" s="77"/>
      <c r="N102" s="77"/>
      <c r="O102" s="77"/>
    </row>
    <row r="103" spans="1:15" ht="15" x14ac:dyDescent="0.25">
      <c r="A103" s="162" t="s">
        <v>5</v>
      </c>
      <c r="B103" s="161" t="s">
        <v>6</v>
      </c>
      <c r="C103" s="161" t="s">
        <v>13</v>
      </c>
      <c r="D103" s="161" t="s">
        <v>82</v>
      </c>
      <c r="E103" s="161" t="s">
        <v>115</v>
      </c>
      <c r="F103" s="163" t="s">
        <v>116</v>
      </c>
      <c r="G103" s="99"/>
      <c r="H103" s="388"/>
      <c r="I103" s="99"/>
      <c r="J103" s="77"/>
      <c r="K103" s="77"/>
      <c r="L103" s="77"/>
      <c r="M103" s="77"/>
      <c r="N103" s="77"/>
      <c r="O103" s="77"/>
    </row>
    <row r="104" spans="1:15" ht="15" x14ac:dyDescent="0.25">
      <c r="A104" s="396" t="s">
        <v>239</v>
      </c>
      <c r="B104" s="106"/>
      <c r="C104" s="106"/>
      <c r="D104" s="106"/>
      <c r="E104" s="106"/>
      <c r="F104" s="107"/>
      <c r="G104" s="99"/>
      <c r="H104" s="388"/>
      <c r="I104" s="99"/>
      <c r="J104" s="77"/>
      <c r="K104" s="77"/>
      <c r="L104" s="77"/>
      <c r="M104" s="77"/>
      <c r="N104" s="77"/>
      <c r="O104" s="77"/>
    </row>
    <row r="105" spans="1:15" ht="30" x14ac:dyDescent="0.25">
      <c r="A105" s="396" t="s">
        <v>91</v>
      </c>
      <c r="B105" s="106" t="s">
        <v>190</v>
      </c>
      <c r="C105" s="106" t="s">
        <v>18</v>
      </c>
      <c r="D105" s="106" t="s">
        <v>8</v>
      </c>
      <c r="E105" s="106" t="s">
        <v>36</v>
      </c>
      <c r="F105" s="107" t="s">
        <v>29</v>
      </c>
      <c r="G105" s="99"/>
      <c r="H105" s="388"/>
      <c r="I105" s="99"/>
      <c r="J105" s="77"/>
      <c r="K105" s="77"/>
      <c r="L105" s="77"/>
      <c r="M105" s="77"/>
      <c r="N105" s="77"/>
      <c r="O105" s="77"/>
    </row>
    <row r="106" spans="1:15" ht="30" x14ac:dyDescent="0.25">
      <c r="A106" s="397" t="s">
        <v>27</v>
      </c>
      <c r="B106" s="106" t="s">
        <v>192</v>
      </c>
      <c r="C106" s="106" t="s">
        <v>15</v>
      </c>
      <c r="D106" s="106" t="s">
        <v>84</v>
      </c>
      <c r="E106" s="106" t="s">
        <v>35</v>
      </c>
      <c r="F106" s="107" t="s">
        <v>28</v>
      </c>
      <c r="G106" s="99"/>
      <c r="H106" s="388"/>
      <c r="I106" s="99"/>
      <c r="J106" s="77"/>
      <c r="K106" s="77"/>
      <c r="L106" s="77"/>
      <c r="M106" s="77"/>
      <c r="N106" s="77"/>
      <c r="O106" s="77"/>
    </row>
    <row r="107" spans="1:15" ht="30" x14ac:dyDescent="0.25">
      <c r="A107" s="397" t="s">
        <v>125</v>
      </c>
      <c r="B107" s="106" t="s">
        <v>191</v>
      </c>
      <c r="C107" s="106" t="s">
        <v>16</v>
      </c>
      <c r="D107" s="106"/>
      <c r="E107" s="106" t="s">
        <v>46</v>
      </c>
      <c r="F107" s="107" t="s">
        <v>34</v>
      </c>
      <c r="G107" s="99"/>
      <c r="H107" s="388"/>
      <c r="I107" s="99"/>
      <c r="J107" s="77"/>
      <c r="K107" s="77"/>
      <c r="L107" s="77"/>
      <c r="M107" s="77"/>
      <c r="N107" s="77"/>
      <c r="O107" s="77"/>
    </row>
    <row r="108" spans="1:15" ht="15" x14ac:dyDescent="0.25">
      <c r="A108" s="396" t="s">
        <v>128</v>
      </c>
      <c r="B108" s="106" t="s">
        <v>193</v>
      </c>
      <c r="C108" s="106" t="s">
        <v>20</v>
      </c>
      <c r="D108" s="106"/>
      <c r="E108" s="106" t="s">
        <v>142</v>
      </c>
      <c r="F108" s="107" t="s">
        <v>142</v>
      </c>
      <c r="G108" s="99"/>
      <c r="H108" s="388"/>
      <c r="I108" s="99"/>
      <c r="J108" s="77"/>
      <c r="K108" s="77"/>
      <c r="L108" s="77"/>
      <c r="M108" s="77"/>
      <c r="N108" s="77"/>
      <c r="O108" s="77"/>
    </row>
    <row r="109" spans="1:15" ht="15" x14ac:dyDescent="0.25">
      <c r="A109" s="397" t="s">
        <v>92</v>
      </c>
      <c r="B109" s="106"/>
      <c r="C109" s="106" t="s">
        <v>19</v>
      </c>
      <c r="D109" s="106"/>
      <c r="E109" s="106" t="s">
        <v>37</v>
      </c>
      <c r="F109" s="107" t="s">
        <v>30</v>
      </c>
      <c r="G109" s="99"/>
      <c r="H109" s="388"/>
      <c r="I109" s="99"/>
      <c r="J109" s="77"/>
      <c r="K109" s="77"/>
      <c r="L109" s="77"/>
      <c r="M109" s="77"/>
      <c r="N109" s="77"/>
      <c r="O109" s="77"/>
    </row>
    <row r="110" spans="1:15" ht="30" x14ac:dyDescent="0.25">
      <c r="A110" s="396" t="s">
        <v>308</v>
      </c>
      <c r="B110" s="106"/>
      <c r="C110" s="106" t="s">
        <v>21</v>
      </c>
      <c r="D110" s="106"/>
      <c r="E110" s="106" t="s">
        <v>117</v>
      </c>
      <c r="F110" s="107" t="s">
        <v>121</v>
      </c>
      <c r="G110" s="99"/>
      <c r="H110" s="388"/>
      <c r="I110" s="99"/>
      <c r="J110" s="77"/>
      <c r="K110" s="77"/>
      <c r="L110" s="77"/>
      <c r="M110" s="77"/>
      <c r="N110" s="77"/>
      <c r="O110" s="77"/>
    </row>
    <row r="111" spans="1:15" ht="30" x14ac:dyDescent="0.25">
      <c r="A111" s="396" t="s">
        <v>309</v>
      </c>
      <c r="B111" s="106"/>
      <c r="C111" s="106" t="s">
        <v>14</v>
      </c>
      <c r="D111" s="106"/>
      <c r="E111" s="106" t="s">
        <v>42</v>
      </c>
      <c r="F111" s="107" t="s">
        <v>40</v>
      </c>
      <c r="G111" s="99"/>
      <c r="H111" s="388"/>
      <c r="I111" s="99"/>
      <c r="J111" s="77"/>
      <c r="K111" s="77"/>
      <c r="L111" s="77"/>
      <c r="M111" s="77"/>
      <c r="N111" s="77"/>
      <c r="O111" s="77"/>
    </row>
    <row r="112" spans="1:15" ht="30" x14ac:dyDescent="0.25">
      <c r="A112" s="396" t="s">
        <v>307</v>
      </c>
      <c r="B112" s="106"/>
      <c r="C112" s="106" t="s">
        <v>17</v>
      </c>
      <c r="D112" s="106"/>
      <c r="E112" s="106" t="s">
        <v>38</v>
      </c>
      <c r="F112" s="107" t="s">
        <v>31</v>
      </c>
      <c r="G112" s="99"/>
      <c r="H112" s="388"/>
      <c r="I112" s="99"/>
      <c r="J112" s="77"/>
      <c r="K112" s="77"/>
      <c r="L112" s="77"/>
      <c r="M112" s="77"/>
      <c r="N112" s="77"/>
      <c r="O112" s="77"/>
    </row>
    <row r="113" spans="1:15" ht="15" x14ac:dyDescent="0.25">
      <c r="A113" s="397" t="s">
        <v>4</v>
      </c>
      <c r="B113" s="106"/>
      <c r="C113" s="106"/>
      <c r="D113" s="106"/>
      <c r="E113" s="106" t="s">
        <v>41</v>
      </c>
      <c r="F113" s="107" t="s">
        <v>39</v>
      </c>
      <c r="G113" s="99"/>
      <c r="H113" s="388"/>
      <c r="I113" s="99"/>
      <c r="J113" s="77"/>
      <c r="K113" s="77"/>
      <c r="L113" s="77"/>
      <c r="M113" s="77"/>
      <c r="N113" s="77"/>
      <c r="O113" s="77"/>
    </row>
    <row r="114" spans="1:15" ht="15" x14ac:dyDescent="0.25">
      <c r="A114" s="397" t="s">
        <v>126</v>
      </c>
      <c r="B114" s="106"/>
      <c r="C114" s="106"/>
      <c r="D114" s="106"/>
      <c r="E114" s="106" t="s">
        <v>43</v>
      </c>
      <c r="F114" s="107" t="s">
        <v>120</v>
      </c>
      <c r="G114" s="99"/>
      <c r="H114" s="388"/>
      <c r="I114" s="99"/>
      <c r="J114" s="77"/>
      <c r="K114" s="77"/>
      <c r="L114" s="77"/>
      <c r="M114" s="77"/>
      <c r="N114" s="77"/>
      <c r="O114" s="77"/>
    </row>
    <row r="115" spans="1:15" x14ac:dyDescent="0.25">
      <c r="A115" s="2" t="s">
        <v>238</v>
      </c>
      <c r="B115" s="2"/>
      <c r="C115" s="2"/>
      <c r="D115" s="2"/>
      <c r="E115" s="2" t="s">
        <v>118</v>
      </c>
      <c r="F115" s="2" t="s">
        <v>122</v>
      </c>
      <c r="G115" s="2"/>
      <c r="I115" s="2"/>
    </row>
    <row r="116" spans="1:15" x14ac:dyDescent="0.25">
      <c r="A116" s="2" t="s">
        <v>183</v>
      </c>
      <c r="B116" s="2"/>
      <c r="C116" s="2"/>
      <c r="D116" s="2"/>
      <c r="E116" s="2" t="s">
        <v>45</v>
      </c>
      <c r="F116" s="2" t="s">
        <v>32</v>
      </c>
      <c r="G116" s="2"/>
      <c r="I116" s="2"/>
    </row>
    <row r="117" spans="1:15" x14ac:dyDescent="0.25">
      <c r="A117" s="2"/>
      <c r="B117" s="2"/>
      <c r="C117" s="2"/>
      <c r="D117" s="2"/>
      <c r="E117" s="2"/>
      <c r="F117" s="2"/>
      <c r="G117" s="2"/>
      <c r="I117" s="2"/>
    </row>
    <row r="118" spans="1:15" x14ac:dyDescent="0.25">
      <c r="A118" s="2"/>
      <c r="B118" s="2"/>
      <c r="C118" s="2"/>
      <c r="D118" s="2"/>
      <c r="E118" s="2"/>
      <c r="F118" s="2"/>
      <c r="G118" s="2"/>
      <c r="I118" s="2"/>
    </row>
    <row r="119" spans="1:15" x14ac:dyDescent="0.25">
      <c r="A119" s="2"/>
      <c r="B119" s="2"/>
      <c r="C119" s="2"/>
      <c r="D119" s="2"/>
      <c r="E119" s="2"/>
      <c r="F119" s="2"/>
      <c r="G119" s="2"/>
      <c r="I119" s="2"/>
    </row>
    <row r="120" spans="1:15" x14ac:dyDescent="0.25">
      <c r="A120" s="2"/>
      <c r="B120" s="2"/>
      <c r="C120" s="2"/>
      <c r="D120" s="2"/>
      <c r="E120" s="2"/>
      <c r="F120" s="2"/>
      <c r="G120" s="2"/>
      <c r="I120" s="2"/>
    </row>
    <row r="121" spans="1:15" x14ac:dyDescent="0.25">
      <c r="A121" s="2"/>
      <c r="B121" s="2"/>
      <c r="C121" s="2"/>
      <c r="D121" s="2"/>
      <c r="E121" s="2"/>
      <c r="F121" s="2"/>
      <c r="G121" s="2"/>
      <c r="I121" s="2"/>
    </row>
    <row r="122" spans="1:15" x14ac:dyDescent="0.25">
      <c r="A122" s="2"/>
      <c r="B122" s="2"/>
      <c r="C122" s="2"/>
      <c r="D122" s="2"/>
      <c r="E122" s="2"/>
      <c r="F122" s="2"/>
      <c r="G122" s="2"/>
      <c r="I122" s="2"/>
    </row>
    <row r="123" spans="1:15" x14ac:dyDescent="0.25">
      <c r="A123" s="2"/>
      <c r="B123" s="2"/>
      <c r="C123" s="2"/>
      <c r="D123" s="2"/>
      <c r="E123" s="2"/>
      <c r="F123" s="2"/>
      <c r="G123" s="2"/>
      <c r="I123" s="2"/>
    </row>
    <row r="124" spans="1:15" x14ac:dyDescent="0.25">
      <c r="A124" s="2"/>
      <c r="B124" s="2"/>
      <c r="C124" s="2"/>
      <c r="D124" s="2"/>
      <c r="E124" s="2"/>
      <c r="F124" s="2"/>
      <c r="G124" s="2"/>
      <c r="I124" s="2"/>
    </row>
    <row r="125" spans="1:15" x14ac:dyDescent="0.25">
      <c r="A125" s="2"/>
      <c r="B125" s="2"/>
      <c r="C125" s="2"/>
      <c r="D125" s="2"/>
      <c r="E125" s="2"/>
      <c r="F125" s="2"/>
      <c r="G125" s="2"/>
      <c r="I125" s="2"/>
    </row>
    <row r="126" spans="1:15" x14ac:dyDescent="0.25">
      <c r="A126" s="2"/>
      <c r="B126" s="2"/>
      <c r="C126" s="2"/>
      <c r="D126" s="2"/>
      <c r="E126" s="2"/>
      <c r="F126" s="2"/>
      <c r="G126" s="2"/>
      <c r="I126" s="2"/>
    </row>
    <row r="127" spans="1:15" x14ac:dyDescent="0.25">
      <c r="A127" s="2"/>
      <c r="B127" s="2"/>
      <c r="C127" s="2"/>
      <c r="D127" s="2"/>
      <c r="E127" s="2"/>
      <c r="F127" s="2"/>
      <c r="G127" s="2"/>
      <c r="I127" s="2"/>
    </row>
    <row r="128" spans="1:15" x14ac:dyDescent="0.25">
      <c r="A128" s="2"/>
      <c r="B128" s="2"/>
      <c r="C128" s="2"/>
      <c r="D128" s="2"/>
      <c r="E128" s="2"/>
      <c r="F128" s="2"/>
      <c r="G128" s="2"/>
      <c r="I128" s="2"/>
    </row>
    <row r="129" spans="1:9" x14ac:dyDescent="0.25">
      <c r="A129" s="2"/>
      <c r="B129" s="2"/>
      <c r="C129" s="2"/>
      <c r="D129" s="2"/>
      <c r="E129" s="2"/>
      <c r="F129" s="2"/>
      <c r="G129" s="2"/>
      <c r="I129" s="2"/>
    </row>
    <row r="130" spans="1:9" x14ac:dyDescent="0.25">
      <c r="A130" s="2"/>
      <c r="B130" s="2"/>
      <c r="C130" s="2"/>
      <c r="D130" s="2"/>
      <c r="E130" s="2"/>
      <c r="F130" s="2"/>
      <c r="G130" s="2"/>
      <c r="I130" s="2"/>
    </row>
    <row r="131" spans="1:9" x14ac:dyDescent="0.25">
      <c r="A131" s="2"/>
      <c r="B131" s="2"/>
      <c r="C131" s="2"/>
      <c r="D131" s="2"/>
      <c r="E131" s="2"/>
      <c r="F131" s="2"/>
      <c r="G131" s="2"/>
      <c r="I131" s="2"/>
    </row>
    <row r="132" spans="1:9" x14ac:dyDescent="0.25">
      <c r="A132" s="2"/>
      <c r="B132" s="2"/>
      <c r="C132" s="2"/>
      <c r="D132" s="2"/>
      <c r="E132" s="2"/>
      <c r="F132" s="2"/>
      <c r="G132" s="2"/>
      <c r="I132" s="2"/>
    </row>
    <row r="133" spans="1:9" x14ac:dyDescent="0.25">
      <c r="A133" s="2"/>
      <c r="B133" s="2"/>
      <c r="C133" s="2"/>
      <c r="D133" s="2"/>
      <c r="E133" s="2"/>
      <c r="F133" s="2"/>
      <c r="G133" s="2"/>
      <c r="I133" s="2"/>
    </row>
    <row r="134" spans="1:9" x14ac:dyDescent="0.25">
      <c r="A134" s="2"/>
      <c r="B134" s="2"/>
      <c r="C134" s="2"/>
      <c r="D134" s="2"/>
      <c r="E134" s="2"/>
      <c r="F134" s="2"/>
      <c r="G134" s="2"/>
      <c r="I134" s="2"/>
    </row>
    <row r="135" spans="1:9" x14ac:dyDescent="0.25">
      <c r="A135" s="2"/>
      <c r="B135" s="2"/>
      <c r="C135" s="2"/>
      <c r="D135" s="2"/>
      <c r="E135" s="2"/>
      <c r="F135" s="2"/>
      <c r="G135" s="2"/>
      <c r="I135" s="2"/>
    </row>
  </sheetData>
  <mergeCells count="7">
    <mergeCell ref="A101:F102"/>
    <mergeCell ref="A1:O1"/>
    <mergeCell ref="A3:O3"/>
    <mergeCell ref="A11:O11"/>
    <mergeCell ref="A35:O35"/>
    <mergeCell ref="A47:O47"/>
    <mergeCell ref="A48:F48"/>
  </mergeCells>
  <dataValidations count="7">
    <dataValidation type="list" allowBlank="1" showInputMessage="1" showErrorMessage="1" sqref="E40 C39:D46" xr:uid="{00000000-0002-0000-1B00-000000000000}">
      <formula1>#REF!</formula1>
    </dataValidation>
    <dataValidation type="list" allowBlank="1" showInputMessage="1" showErrorMessage="1" sqref="C22:D31 C14:D18 C37:D37 C5:D10" xr:uid="{00000000-0002-0000-1B00-000001000000}">
      <formula1>$A$110:$A$122</formula1>
    </dataValidation>
    <dataValidation type="list" allowBlank="1" showInputMessage="1" showErrorMessage="1" sqref="F5:F10 F22:F31 F37 F14:F18" xr:uid="{00000000-0002-0000-1B00-000002000000}">
      <formula1>$E$110:$E$124</formula1>
    </dataValidation>
    <dataValidation type="list" allowBlank="1" showInputMessage="1" showErrorMessage="1" sqref="E5:E10 E22:E31 E37 E14:E18" xr:uid="{00000000-0002-0000-1B00-000003000000}">
      <formula1>$F$110:$F$124</formula1>
    </dataValidation>
    <dataValidation type="list" allowBlank="1" showInputMessage="1" showErrorMessage="1" sqref="B5:B10 B22:B31 B14:B18 B37" xr:uid="{00000000-0002-0000-1B00-000004000000}">
      <formula1>$B$110:$B$114</formula1>
    </dataValidation>
    <dataValidation type="list" allowBlank="1" showInputMessage="1" showErrorMessage="1" sqref="A5:A10 A37 A14:A18 A22:A31" xr:uid="{00000000-0002-0000-1B00-000005000000}">
      <formula1>$D$110:$D$112</formula1>
    </dataValidation>
    <dataValidation type="list" allowBlank="1" showInputMessage="1" showErrorMessage="1" sqref="G5:G10 G14:G18 G37 G22:G31" xr:uid="{00000000-0002-0000-1B00-000006000000}">
      <formula1>$C$110:$C$118</formula1>
    </dataValidation>
  </dataValidation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8">
    <tabColor rgb="FFFF0000"/>
  </sheetPr>
  <dimension ref="A1:EA132"/>
  <sheetViews>
    <sheetView topLeftCell="D2" zoomScale="60" zoomScaleNormal="60" workbookViewId="0">
      <selection activeCell="K6" sqref="K6"/>
    </sheetView>
  </sheetViews>
  <sheetFormatPr defaultColWidth="8.77734375" defaultRowHeight="13.2" x14ac:dyDescent="0.25"/>
  <cols>
    <col min="1" max="7" width="26.44140625" customWidth="1"/>
    <col min="8" max="8" width="26.44140625" style="3" customWidth="1"/>
    <col min="9" max="15" width="26.44140625" customWidth="1"/>
  </cols>
  <sheetData>
    <row r="1" spans="1:131" ht="18" thickBot="1" x14ac:dyDescent="0.3">
      <c r="A1" s="900" t="s">
        <v>310</v>
      </c>
      <c r="B1" s="900"/>
      <c r="C1" s="900"/>
      <c r="D1" s="900"/>
      <c r="E1" s="900"/>
      <c r="F1" s="900"/>
      <c r="G1" s="900"/>
      <c r="H1" s="900"/>
      <c r="I1" s="900"/>
      <c r="J1" s="900"/>
      <c r="K1" s="900"/>
      <c r="L1" s="900"/>
      <c r="M1" s="900"/>
      <c r="N1" s="900"/>
      <c r="O1" s="900"/>
    </row>
    <row r="2" spans="1:131" ht="17.399999999999999" x14ac:dyDescent="0.25">
      <c r="A2" s="440" t="s">
        <v>188</v>
      </c>
      <c r="B2" s="175"/>
      <c r="C2" s="440"/>
      <c r="D2" s="440"/>
      <c r="E2" s="440"/>
      <c r="F2" s="440"/>
      <c r="G2" s="440"/>
      <c r="H2" s="381"/>
      <c r="I2" s="440"/>
      <c r="J2" s="399"/>
      <c r="K2" s="399"/>
      <c r="L2" s="399"/>
      <c r="M2" s="399"/>
      <c r="N2" s="399"/>
      <c r="O2" s="399"/>
    </row>
    <row r="3" spans="1:131" ht="15" x14ac:dyDescent="0.25">
      <c r="A3" s="901" t="s">
        <v>204</v>
      </c>
      <c r="B3" s="902"/>
      <c r="C3" s="902"/>
      <c r="D3" s="902"/>
      <c r="E3" s="902"/>
      <c r="F3" s="902"/>
      <c r="G3" s="902"/>
      <c r="H3" s="902"/>
      <c r="I3" s="902"/>
      <c r="J3" s="902"/>
      <c r="K3" s="902"/>
      <c r="L3" s="902"/>
      <c r="M3" s="902"/>
      <c r="N3" s="902"/>
      <c r="O3" s="903"/>
    </row>
    <row r="4" spans="1:131" ht="60" x14ac:dyDescent="0.25">
      <c r="A4" s="176" t="s">
        <v>89</v>
      </c>
      <c r="B4" s="176" t="s">
        <v>90</v>
      </c>
      <c r="C4" s="177" t="s">
        <v>0</v>
      </c>
      <c r="D4" s="177" t="s">
        <v>124</v>
      </c>
      <c r="E4" s="176" t="s">
        <v>143</v>
      </c>
      <c r="F4" s="176" t="s">
        <v>144</v>
      </c>
      <c r="G4" s="176" t="s">
        <v>13</v>
      </c>
      <c r="H4" s="382" t="s">
        <v>88</v>
      </c>
      <c r="I4" s="176" t="s">
        <v>12</v>
      </c>
      <c r="J4" s="400" t="s">
        <v>158</v>
      </c>
      <c r="K4" s="400" t="s">
        <v>148</v>
      </c>
      <c r="L4" s="400" t="s">
        <v>180</v>
      </c>
      <c r="M4" s="400" t="s">
        <v>104</v>
      </c>
      <c r="N4" s="400" t="s">
        <v>179</v>
      </c>
      <c r="O4" s="400" t="s">
        <v>205</v>
      </c>
    </row>
    <row r="5" spans="1:131" ht="30" x14ac:dyDescent="0.25">
      <c r="A5" s="322" t="s">
        <v>84</v>
      </c>
      <c r="B5" s="322" t="s">
        <v>3</v>
      </c>
      <c r="C5" s="322" t="s">
        <v>307</v>
      </c>
      <c r="D5" s="322" t="s">
        <v>307</v>
      </c>
      <c r="E5" s="327" t="s">
        <v>120</v>
      </c>
      <c r="F5" s="457" t="s">
        <v>44</v>
      </c>
      <c r="G5" s="322" t="s">
        <v>14</v>
      </c>
      <c r="H5" s="85">
        <v>44423</v>
      </c>
      <c r="I5" s="322" t="s">
        <v>23</v>
      </c>
      <c r="J5" s="350">
        <v>143.66999999999999</v>
      </c>
      <c r="K5" s="350">
        <f>'Sep12'!K5</f>
        <v>118.16</v>
      </c>
      <c r="L5" s="350">
        <f t="shared" ref="L5:L8" si="0">N5-M5</f>
        <v>18.476034070000001</v>
      </c>
      <c r="M5" s="350">
        <f t="shared" ref="M5:N8" si="1">-DZ5/1000000</f>
        <v>0.89762607999999999</v>
      </c>
      <c r="N5" s="350">
        <f t="shared" si="1"/>
        <v>19.373660149999999</v>
      </c>
      <c r="O5" s="88"/>
      <c r="DZ5">
        <v>-897626.08</v>
      </c>
      <c r="EA5">
        <v>-19373660.149999999</v>
      </c>
    </row>
    <row r="6" spans="1:131" ht="30" x14ac:dyDescent="0.25">
      <c r="A6" s="328" t="s">
        <v>84</v>
      </c>
      <c r="B6" s="328" t="s">
        <v>3</v>
      </c>
      <c r="C6" s="328" t="s">
        <v>307</v>
      </c>
      <c r="D6" s="328" t="s">
        <v>307</v>
      </c>
      <c r="E6" s="329" t="s">
        <v>120</v>
      </c>
      <c r="F6" s="458" t="s">
        <v>44</v>
      </c>
      <c r="G6" s="328" t="s">
        <v>14</v>
      </c>
      <c r="H6" s="93">
        <v>44576</v>
      </c>
      <c r="I6" s="328" t="s">
        <v>24</v>
      </c>
      <c r="J6" s="351">
        <v>27.4</v>
      </c>
      <c r="K6" s="351">
        <f>'Sep12'!K6</f>
        <v>26.9575</v>
      </c>
      <c r="L6" s="351">
        <f t="shared" si="0"/>
        <v>4.7561531099999996</v>
      </c>
      <c r="M6" s="351">
        <f t="shared" si="1"/>
        <v>8.2671910000000001E-2</v>
      </c>
      <c r="N6" s="351">
        <f t="shared" si="1"/>
        <v>4.8388250199999998</v>
      </c>
      <c r="O6" s="96"/>
      <c r="DZ6">
        <v>-82671.91</v>
      </c>
      <c r="EA6">
        <v>-4838825.0199999996</v>
      </c>
    </row>
    <row r="7" spans="1:131" ht="30" x14ac:dyDescent="0.25">
      <c r="A7" s="322" t="s">
        <v>84</v>
      </c>
      <c r="B7" s="322" t="s">
        <v>3</v>
      </c>
      <c r="C7" s="322" t="s">
        <v>308</v>
      </c>
      <c r="D7" s="322" t="s">
        <v>308</v>
      </c>
      <c r="E7" s="327" t="s">
        <v>39</v>
      </c>
      <c r="F7" s="457" t="s">
        <v>38</v>
      </c>
      <c r="G7" s="322" t="s">
        <v>14</v>
      </c>
      <c r="H7" s="85">
        <v>44576</v>
      </c>
      <c r="I7" s="322" t="s">
        <v>24</v>
      </c>
      <c r="J7" s="350">
        <v>26.85</v>
      </c>
      <c r="K7" s="350">
        <f>'Sep12'!K7</f>
        <v>26.47</v>
      </c>
      <c r="L7" s="350">
        <f t="shared" si="0"/>
        <v>4.6629302099999999</v>
      </c>
      <c r="M7" s="350">
        <f t="shared" si="1"/>
        <v>8.1184539999999999E-2</v>
      </c>
      <c r="N7" s="350">
        <f t="shared" si="1"/>
        <v>4.7441147499999996</v>
      </c>
      <c r="O7" s="88"/>
      <c r="DZ7">
        <v>-81184.539999999994</v>
      </c>
      <c r="EA7">
        <v>-4744114.75</v>
      </c>
    </row>
    <row r="8" spans="1:131" ht="30" x14ac:dyDescent="0.25">
      <c r="A8" s="328" t="s">
        <v>84</v>
      </c>
      <c r="B8" s="328" t="s">
        <v>3</v>
      </c>
      <c r="C8" s="328" t="s">
        <v>309</v>
      </c>
      <c r="D8" s="328" t="s">
        <v>125</v>
      </c>
      <c r="E8" s="329" t="s">
        <v>39</v>
      </c>
      <c r="F8" s="458" t="s">
        <v>42</v>
      </c>
      <c r="G8" s="328" t="s">
        <v>14</v>
      </c>
      <c r="H8" s="93">
        <v>46296</v>
      </c>
      <c r="I8" s="328" t="s">
        <v>25</v>
      </c>
      <c r="J8" s="351">
        <v>40.880000000000003</v>
      </c>
      <c r="K8" s="351">
        <v>37.659999999999997</v>
      </c>
      <c r="L8" s="351">
        <f t="shared" si="0"/>
        <v>7.0114867999999992</v>
      </c>
      <c r="M8" s="351">
        <f t="shared" si="1"/>
        <v>0.10291967</v>
      </c>
      <c r="N8" s="351">
        <f t="shared" si="1"/>
        <v>7.1144064699999996</v>
      </c>
      <c r="O8" s="96"/>
      <c r="DZ8">
        <v>-102919.67</v>
      </c>
      <c r="EA8">
        <v>-7114406.4699999997</v>
      </c>
    </row>
    <row r="9" spans="1:131" ht="15" x14ac:dyDescent="0.25">
      <c r="A9" s="111"/>
      <c r="B9" s="111"/>
      <c r="C9" s="111"/>
      <c r="D9" s="111"/>
      <c r="E9" s="123"/>
      <c r="F9" s="111"/>
      <c r="G9" s="111"/>
      <c r="H9" s="114"/>
      <c r="I9" s="111"/>
      <c r="J9" s="352"/>
      <c r="K9" s="352"/>
      <c r="L9" s="352"/>
      <c r="M9" s="352"/>
      <c r="N9" s="353"/>
      <c r="O9" s="353"/>
    </row>
    <row r="10" spans="1:131" ht="15" x14ac:dyDescent="0.25">
      <c r="A10" s="328"/>
      <c r="B10" s="328"/>
      <c r="C10" s="328"/>
      <c r="D10" s="328"/>
      <c r="E10" s="329"/>
      <c r="F10" s="328"/>
      <c r="G10" s="328"/>
      <c r="H10" s="93"/>
      <c r="I10" s="328"/>
      <c r="J10" s="351"/>
      <c r="K10" s="351"/>
      <c r="L10" s="351"/>
      <c r="M10" s="351"/>
      <c r="N10" s="96"/>
      <c r="O10" s="96"/>
    </row>
    <row r="11" spans="1:131" ht="15" x14ac:dyDescent="0.25">
      <c r="A11" s="901" t="s">
        <v>203</v>
      </c>
      <c r="B11" s="902"/>
      <c r="C11" s="902"/>
      <c r="D11" s="902"/>
      <c r="E11" s="902"/>
      <c r="F11" s="902"/>
      <c r="G11" s="902"/>
      <c r="H11" s="902"/>
      <c r="I11" s="902"/>
      <c r="J11" s="902"/>
      <c r="K11" s="902"/>
      <c r="L11" s="902"/>
      <c r="M11" s="902"/>
      <c r="N11" s="902"/>
      <c r="O11" s="903"/>
    </row>
    <row r="12" spans="1:131" ht="60" x14ac:dyDescent="0.25">
      <c r="A12" s="176" t="s">
        <v>89</v>
      </c>
      <c r="B12" s="176" t="s">
        <v>90</v>
      </c>
      <c r="C12" s="177" t="s">
        <v>0</v>
      </c>
      <c r="D12" s="180" t="s">
        <v>124</v>
      </c>
      <c r="E12" s="176" t="s">
        <v>143</v>
      </c>
      <c r="F12" s="176" t="s">
        <v>144</v>
      </c>
      <c r="G12" s="176" t="s">
        <v>13</v>
      </c>
      <c r="H12" s="382" t="s">
        <v>88</v>
      </c>
      <c r="I12" s="176" t="s">
        <v>12</v>
      </c>
      <c r="J12" s="400" t="s">
        <v>150</v>
      </c>
      <c r="K12" s="400" t="s">
        <v>151</v>
      </c>
      <c r="L12" s="400" t="s">
        <v>157</v>
      </c>
      <c r="M12" s="400" t="s">
        <v>149</v>
      </c>
      <c r="N12" s="400" t="s">
        <v>179</v>
      </c>
      <c r="O12" s="400" t="s">
        <v>205</v>
      </c>
    </row>
    <row r="13" spans="1:131" ht="15" x14ac:dyDescent="0.25">
      <c r="A13" s="184" t="s">
        <v>197</v>
      </c>
      <c r="B13" s="184"/>
      <c r="C13" s="185"/>
      <c r="D13" s="185"/>
      <c r="E13" s="184"/>
      <c r="F13" s="184"/>
      <c r="G13" s="184"/>
      <c r="H13" s="383"/>
      <c r="I13" s="184"/>
      <c r="J13" s="403"/>
      <c r="K13" s="403"/>
      <c r="L13" s="403"/>
      <c r="M13" s="403"/>
      <c r="N13" s="403"/>
      <c r="O13" s="404"/>
    </row>
    <row r="14" spans="1:131" ht="30" x14ac:dyDescent="0.25">
      <c r="A14" s="322" t="s">
        <v>8</v>
      </c>
      <c r="B14" s="322" t="s">
        <v>7</v>
      </c>
      <c r="C14" s="322" t="s">
        <v>239</v>
      </c>
      <c r="D14" s="322" t="s">
        <v>238</v>
      </c>
      <c r="E14" s="327" t="s">
        <v>32</v>
      </c>
      <c r="F14" s="327" t="s">
        <v>118</v>
      </c>
      <c r="G14" s="322" t="s">
        <v>22</v>
      </c>
      <c r="H14" s="85">
        <v>41455</v>
      </c>
      <c r="I14" s="322" t="s">
        <v>131</v>
      </c>
      <c r="J14" s="88">
        <v>26.56</v>
      </c>
      <c r="K14" s="88">
        <v>-7.2</v>
      </c>
      <c r="L14" s="88">
        <v>19.36</v>
      </c>
      <c r="M14" s="88"/>
      <c r="N14" s="88"/>
      <c r="O14" s="88"/>
    </row>
    <row r="15" spans="1:131" ht="30" x14ac:dyDescent="0.25">
      <c r="A15" s="328" t="s">
        <v>8</v>
      </c>
      <c r="B15" s="328" t="s">
        <v>193</v>
      </c>
      <c r="C15" s="328" t="s">
        <v>239</v>
      </c>
      <c r="D15" s="328" t="s">
        <v>238</v>
      </c>
      <c r="E15" s="328" t="s">
        <v>32</v>
      </c>
      <c r="F15" s="328" t="s">
        <v>118</v>
      </c>
      <c r="G15" s="328" t="s">
        <v>22</v>
      </c>
      <c r="H15" s="385">
        <v>41820</v>
      </c>
      <c r="I15" s="328" t="s">
        <v>132</v>
      </c>
      <c r="J15" s="379">
        <v>17.13</v>
      </c>
      <c r="K15" s="379"/>
      <c r="L15" s="379">
        <v>17.13</v>
      </c>
      <c r="M15" s="379"/>
      <c r="N15" s="379"/>
      <c r="O15" s="379"/>
    </row>
    <row r="16" spans="1:131" ht="30" x14ac:dyDescent="0.25">
      <c r="A16" s="322" t="s">
        <v>8</v>
      </c>
      <c r="B16" s="322" t="s">
        <v>193</v>
      </c>
      <c r="C16" s="322" t="s">
        <v>239</v>
      </c>
      <c r="D16" s="322" t="s">
        <v>238</v>
      </c>
      <c r="E16" s="322" t="s">
        <v>32</v>
      </c>
      <c r="F16" s="322" t="s">
        <v>118</v>
      </c>
      <c r="G16" s="322" t="s">
        <v>22</v>
      </c>
      <c r="H16" s="386">
        <v>42185</v>
      </c>
      <c r="I16" s="322" t="s">
        <v>133</v>
      </c>
      <c r="J16" s="380">
        <v>12.43</v>
      </c>
      <c r="K16" s="380"/>
      <c r="L16" s="380">
        <v>12.43</v>
      </c>
      <c r="M16" s="380"/>
      <c r="N16" s="380"/>
      <c r="O16" s="380"/>
    </row>
    <row r="17" spans="1:15" ht="30" x14ac:dyDescent="0.25">
      <c r="A17" s="328" t="s">
        <v>8</v>
      </c>
      <c r="B17" s="328" t="s">
        <v>193</v>
      </c>
      <c r="C17" s="328" t="s">
        <v>239</v>
      </c>
      <c r="D17" s="328" t="s">
        <v>238</v>
      </c>
      <c r="E17" s="328" t="s">
        <v>32</v>
      </c>
      <c r="F17" s="328" t="s">
        <v>118</v>
      </c>
      <c r="G17" s="328" t="s">
        <v>22</v>
      </c>
      <c r="H17" s="385">
        <v>42551</v>
      </c>
      <c r="I17" s="328" t="s">
        <v>300</v>
      </c>
      <c r="J17" s="379">
        <v>0.1</v>
      </c>
      <c r="K17" s="379"/>
      <c r="L17" s="379">
        <v>0.1</v>
      </c>
      <c r="M17" s="379"/>
      <c r="N17" s="379"/>
      <c r="O17" s="379"/>
    </row>
    <row r="18" spans="1:15" ht="15" x14ac:dyDescent="0.25">
      <c r="A18" s="181"/>
      <c r="B18" s="181"/>
      <c r="C18" s="181"/>
      <c r="D18" s="181"/>
      <c r="E18" s="182"/>
      <c r="F18" s="181"/>
      <c r="G18" s="181"/>
      <c r="H18" s="183" t="s">
        <v>206</v>
      </c>
      <c r="I18" s="181"/>
      <c r="J18" s="354">
        <v>56.22</v>
      </c>
      <c r="K18" s="354">
        <v>-7.2</v>
      </c>
      <c r="L18" s="354">
        <v>49.019999999999996</v>
      </c>
      <c r="M18" s="354">
        <v>41.165255999999999</v>
      </c>
      <c r="N18" s="354">
        <v>7.8547440000000002</v>
      </c>
      <c r="O18" s="354">
        <v>35</v>
      </c>
    </row>
    <row r="19" spans="1:15" ht="15" x14ac:dyDescent="0.25">
      <c r="A19" s="181" t="s">
        <v>295</v>
      </c>
      <c r="B19" s="181"/>
      <c r="C19" s="181"/>
      <c r="D19" s="181"/>
      <c r="E19" s="182"/>
      <c r="F19" s="181"/>
      <c r="G19" s="181"/>
      <c r="H19" s="183"/>
      <c r="I19" s="181"/>
      <c r="J19" s="354"/>
      <c r="K19" s="354"/>
      <c r="L19" s="354"/>
      <c r="M19" s="354"/>
      <c r="N19" s="354"/>
      <c r="O19" s="354"/>
    </row>
    <row r="20" spans="1:15" ht="15" x14ac:dyDescent="0.25">
      <c r="A20" s="184" t="s">
        <v>198</v>
      </c>
      <c r="B20" s="184"/>
      <c r="C20" s="185"/>
      <c r="D20" s="185"/>
      <c r="E20" s="184"/>
      <c r="F20" s="184"/>
      <c r="G20" s="184"/>
      <c r="H20" s="383"/>
      <c r="I20" s="184"/>
      <c r="J20" s="459"/>
      <c r="K20" s="459"/>
      <c r="L20" s="459"/>
      <c r="M20" s="459"/>
      <c r="N20" s="459"/>
      <c r="O20" s="186"/>
    </row>
    <row r="21" spans="1:15" ht="30" x14ac:dyDescent="0.25">
      <c r="A21" s="328" t="s">
        <v>8</v>
      </c>
      <c r="B21" s="328" t="s">
        <v>7</v>
      </c>
      <c r="C21" s="328" t="s">
        <v>27</v>
      </c>
      <c r="D21" s="328" t="s">
        <v>127</v>
      </c>
      <c r="E21" s="328" t="s">
        <v>33</v>
      </c>
      <c r="F21" s="328" t="s">
        <v>45</v>
      </c>
      <c r="G21" s="328" t="s">
        <v>22</v>
      </c>
      <c r="H21" s="385">
        <v>41455</v>
      </c>
      <c r="I21" s="328" t="s">
        <v>137</v>
      </c>
      <c r="J21" s="379">
        <v>5.2490547599999999</v>
      </c>
      <c r="K21" s="379">
        <v>-2.8013840000000001</v>
      </c>
      <c r="L21" s="379">
        <v>2.4476707599999998</v>
      </c>
      <c r="M21" s="379"/>
      <c r="N21" s="379"/>
      <c r="O21" s="379"/>
    </row>
    <row r="22" spans="1:15" ht="30" x14ac:dyDescent="0.25">
      <c r="A22" s="322" t="s">
        <v>84</v>
      </c>
      <c r="B22" s="322" t="s">
        <v>7</v>
      </c>
      <c r="C22" s="322" t="s">
        <v>92</v>
      </c>
      <c r="D22" s="322" t="s">
        <v>128</v>
      </c>
      <c r="E22" s="322" t="s">
        <v>33</v>
      </c>
      <c r="F22" s="322" t="s">
        <v>45</v>
      </c>
      <c r="G22" s="322" t="s">
        <v>22</v>
      </c>
      <c r="H22" s="386">
        <v>41455</v>
      </c>
      <c r="I22" s="322" t="s">
        <v>137</v>
      </c>
      <c r="J22" s="380">
        <v>2.6344919999999997E-2</v>
      </c>
      <c r="K22" s="380">
        <v>-2.6344919999999997E-2</v>
      </c>
      <c r="L22" s="380">
        <v>0</v>
      </c>
      <c r="M22" s="380"/>
      <c r="N22" s="380"/>
      <c r="O22" s="380"/>
    </row>
    <row r="23" spans="1:15" ht="30" x14ac:dyDescent="0.25">
      <c r="A23" s="328" t="s">
        <v>84</v>
      </c>
      <c r="B23" s="328" t="s">
        <v>7</v>
      </c>
      <c r="C23" s="328" t="s">
        <v>27</v>
      </c>
      <c r="D23" s="328" t="s">
        <v>127</v>
      </c>
      <c r="E23" s="328" t="s">
        <v>33</v>
      </c>
      <c r="F23" s="328" t="s">
        <v>45</v>
      </c>
      <c r="G23" s="328" t="s">
        <v>22</v>
      </c>
      <c r="H23" s="385">
        <v>41820</v>
      </c>
      <c r="I23" s="328" t="s">
        <v>138</v>
      </c>
      <c r="J23" s="379">
        <v>0.92112859999999996</v>
      </c>
      <c r="K23" s="379">
        <v>0</v>
      </c>
      <c r="L23" s="379">
        <v>0.92112859999999996</v>
      </c>
      <c r="M23" s="379"/>
      <c r="N23" s="379"/>
      <c r="O23" s="379"/>
    </row>
    <row r="24" spans="1:15" ht="30" x14ac:dyDescent="0.25">
      <c r="A24" s="322" t="s">
        <v>8</v>
      </c>
      <c r="B24" s="322" t="s">
        <v>7</v>
      </c>
      <c r="C24" s="322" t="s">
        <v>92</v>
      </c>
      <c r="D24" s="322" t="s">
        <v>128</v>
      </c>
      <c r="E24" s="322" t="s">
        <v>33</v>
      </c>
      <c r="F24" s="322" t="s">
        <v>45</v>
      </c>
      <c r="G24" s="322" t="s">
        <v>22</v>
      </c>
      <c r="H24" s="386">
        <v>41820</v>
      </c>
      <c r="I24" s="322" t="s">
        <v>138</v>
      </c>
      <c r="J24" s="380">
        <v>0.22077552</v>
      </c>
      <c r="K24" s="380">
        <v>0</v>
      </c>
      <c r="L24" s="380">
        <v>0.22077552</v>
      </c>
      <c r="M24" s="380"/>
      <c r="N24" s="380"/>
      <c r="O24" s="380"/>
    </row>
    <row r="25" spans="1:15" ht="30" x14ac:dyDescent="0.25">
      <c r="A25" s="328" t="s">
        <v>8</v>
      </c>
      <c r="B25" s="328" t="s">
        <v>7</v>
      </c>
      <c r="C25" s="328" t="s">
        <v>27</v>
      </c>
      <c r="D25" s="328" t="s">
        <v>127</v>
      </c>
      <c r="E25" s="328" t="s">
        <v>33</v>
      </c>
      <c r="F25" s="328" t="s">
        <v>45</v>
      </c>
      <c r="G25" s="328" t="s">
        <v>22</v>
      </c>
      <c r="H25" s="385">
        <v>42185</v>
      </c>
      <c r="I25" s="328" t="s">
        <v>139</v>
      </c>
      <c r="J25" s="379">
        <v>0</v>
      </c>
      <c r="K25" s="379">
        <v>0</v>
      </c>
      <c r="L25" s="379">
        <v>0</v>
      </c>
      <c r="M25" s="379"/>
      <c r="N25" s="379"/>
      <c r="O25" s="379"/>
    </row>
    <row r="26" spans="1:15" ht="30" x14ac:dyDescent="0.25">
      <c r="A26" s="322" t="s">
        <v>8</v>
      </c>
      <c r="B26" s="322" t="s">
        <v>7</v>
      </c>
      <c r="C26" s="322" t="s">
        <v>92</v>
      </c>
      <c r="D26" s="322" t="s">
        <v>128</v>
      </c>
      <c r="E26" s="322" t="s">
        <v>33</v>
      </c>
      <c r="F26" s="322" t="s">
        <v>45</v>
      </c>
      <c r="G26" s="322" t="s">
        <v>22</v>
      </c>
      <c r="H26" s="386">
        <v>42185</v>
      </c>
      <c r="I26" s="322" t="s">
        <v>139</v>
      </c>
      <c r="J26" s="380">
        <v>0</v>
      </c>
      <c r="K26" s="380">
        <v>0</v>
      </c>
      <c r="L26" s="380">
        <v>0</v>
      </c>
      <c r="M26" s="380"/>
      <c r="N26" s="380"/>
      <c r="O26" s="380"/>
    </row>
    <row r="27" spans="1:15" ht="30" x14ac:dyDescent="0.25">
      <c r="A27" s="328" t="s">
        <v>8</v>
      </c>
      <c r="B27" s="328" t="s">
        <v>7</v>
      </c>
      <c r="C27" s="328" t="s">
        <v>27</v>
      </c>
      <c r="D27" s="328" t="s">
        <v>127</v>
      </c>
      <c r="E27" s="328" t="s">
        <v>33</v>
      </c>
      <c r="F27" s="328" t="s">
        <v>45</v>
      </c>
      <c r="G27" s="328" t="s">
        <v>22</v>
      </c>
      <c r="H27" s="385">
        <v>42551</v>
      </c>
      <c r="I27" s="328" t="s">
        <v>301</v>
      </c>
      <c r="J27" s="379">
        <v>0</v>
      </c>
      <c r="K27" s="379">
        <v>0</v>
      </c>
      <c r="L27" s="379">
        <v>0</v>
      </c>
      <c r="M27" s="379"/>
      <c r="N27" s="379"/>
      <c r="O27" s="379"/>
    </row>
    <row r="28" spans="1:15" ht="30" x14ac:dyDescent="0.25">
      <c r="A28" s="322" t="s">
        <v>8</v>
      </c>
      <c r="B28" s="322" t="s">
        <v>7</v>
      </c>
      <c r="C28" s="322" t="s">
        <v>92</v>
      </c>
      <c r="D28" s="322" t="s">
        <v>128</v>
      </c>
      <c r="E28" s="322" t="s">
        <v>33</v>
      </c>
      <c r="F28" s="322" t="s">
        <v>45</v>
      </c>
      <c r="G28" s="322" t="s">
        <v>22</v>
      </c>
      <c r="H28" s="386">
        <v>42551</v>
      </c>
      <c r="I28" s="322" t="s">
        <v>301</v>
      </c>
      <c r="J28" s="380">
        <v>0</v>
      </c>
      <c r="K28" s="380">
        <v>0</v>
      </c>
      <c r="L28" s="380">
        <v>0</v>
      </c>
      <c r="M28" s="380"/>
      <c r="N28" s="380"/>
      <c r="O28" s="380"/>
    </row>
    <row r="29" spans="1:15" ht="30" x14ac:dyDescent="0.25">
      <c r="A29" s="181" t="s">
        <v>296</v>
      </c>
      <c r="B29" s="181"/>
      <c r="C29" s="181"/>
      <c r="D29" s="181"/>
      <c r="E29" s="182"/>
      <c r="F29" s="181"/>
      <c r="G29" s="181"/>
      <c r="H29" s="183" t="s">
        <v>206</v>
      </c>
      <c r="I29" s="181"/>
      <c r="J29" s="354">
        <v>6.4173038</v>
      </c>
      <c r="K29" s="354">
        <v>-2.8277289200000002</v>
      </c>
      <c r="L29" s="354">
        <v>3.5895748799999998</v>
      </c>
      <c r="M29" s="354">
        <v>3.0946552429999996</v>
      </c>
      <c r="N29" s="354">
        <v>0.49491963700000002</v>
      </c>
      <c r="O29" s="354"/>
    </row>
    <row r="30" spans="1:15" ht="15" x14ac:dyDescent="0.25">
      <c r="A30" s="181"/>
      <c r="B30" s="181"/>
      <c r="C30" s="181"/>
      <c r="D30" s="181"/>
      <c r="E30" s="182"/>
      <c r="F30" s="181"/>
      <c r="G30" s="181"/>
      <c r="H30" s="183"/>
      <c r="I30" s="181"/>
      <c r="J30" s="354"/>
      <c r="K30" s="354"/>
      <c r="L30" s="354"/>
      <c r="M30" s="354"/>
      <c r="N30" s="354"/>
      <c r="O30" s="354"/>
    </row>
    <row r="31" spans="1:15" ht="15" x14ac:dyDescent="0.25">
      <c r="A31" s="184" t="s">
        <v>298</v>
      </c>
      <c r="B31" s="184"/>
      <c r="C31" s="185"/>
      <c r="D31" s="185"/>
      <c r="E31" s="184"/>
      <c r="F31" s="184"/>
      <c r="G31" s="184"/>
      <c r="H31" s="383"/>
      <c r="I31" s="184"/>
      <c r="J31" s="403"/>
      <c r="K31" s="403"/>
      <c r="L31" s="403"/>
      <c r="M31" s="403"/>
      <c r="N31" s="403"/>
      <c r="O31" s="404"/>
    </row>
    <row r="32" spans="1:15" ht="15" x14ac:dyDescent="0.25">
      <c r="A32" s="901">
        <v>1.08</v>
      </c>
      <c r="B32" s="902"/>
      <c r="C32" s="902"/>
      <c r="D32" s="902"/>
      <c r="E32" s="902"/>
      <c r="F32" s="902"/>
      <c r="G32" s="902"/>
      <c r="H32" s="902"/>
      <c r="I32" s="902"/>
      <c r="J32" s="902"/>
      <c r="K32" s="902"/>
      <c r="L32" s="902"/>
      <c r="M32" s="902"/>
      <c r="N32" s="902"/>
      <c r="O32" s="903"/>
    </row>
    <row r="33" spans="1:15" ht="60" x14ac:dyDescent="0.25">
      <c r="A33" s="176" t="s">
        <v>89</v>
      </c>
      <c r="B33" s="176" t="s">
        <v>90</v>
      </c>
      <c r="C33" s="177" t="s">
        <v>0</v>
      </c>
      <c r="D33" s="177" t="s">
        <v>124</v>
      </c>
      <c r="E33" s="176" t="s">
        <v>143</v>
      </c>
      <c r="F33" s="176" t="s">
        <v>144</v>
      </c>
      <c r="G33" s="176" t="s">
        <v>13</v>
      </c>
      <c r="H33" s="382" t="s">
        <v>88</v>
      </c>
      <c r="I33" s="176" t="s">
        <v>12</v>
      </c>
      <c r="J33" s="400" t="s">
        <v>200</v>
      </c>
      <c r="K33" s="400" t="s">
        <v>199</v>
      </c>
      <c r="L33" s="400" t="s">
        <v>201</v>
      </c>
      <c r="M33" s="400" t="s">
        <v>149</v>
      </c>
      <c r="N33" s="400" t="s">
        <v>179</v>
      </c>
      <c r="O33" s="400" t="s">
        <v>304</v>
      </c>
    </row>
    <row r="34" spans="1:15" ht="30" x14ac:dyDescent="0.25">
      <c r="A34" s="328" t="s">
        <v>84</v>
      </c>
      <c r="B34" s="328" t="s">
        <v>9</v>
      </c>
      <c r="C34" s="328" t="s">
        <v>183</v>
      </c>
      <c r="D34" s="328" t="s">
        <v>142</v>
      </c>
      <c r="E34" s="329" t="s">
        <v>142</v>
      </c>
      <c r="F34" s="328" t="s">
        <v>142</v>
      </c>
      <c r="G34" s="328" t="s">
        <v>22</v>
      </c>
      <c r="H34" s="93">
        <v>41449</v>
      </c>
      <c r="I34" s="328" t="s">
        <v>172</v>
      </c>
      <c r="J34" s="96">
        <v>7.0349999999999996E-2</v>
      </c>
      <c r="K34" s="96" t="s">
        <v>299</v>
      </c>
      <c r="L34" s="96">
        <v>7.0349999999999996E-2</v>
      </c>
      <c r="M34" s="477">
        <f>+O34*50000/1000000</f>
        <v>6.4799999999999996E-2</v>
      </c>
      <c r="N34" s="477">
        <f>IF(M34-L34&lt;0,0,M34-L34)</f>
        <v>0</v>
      </c>
      <c r="O34" s="96">
        <v>1.296</v>
      </c>
    </row>
    <row r="35" spans="1:15" ht="30" x14ac:dyDescent="0.25">
      <c r="A35" s="111" t="s">
        <v>297</v>
      </c>
      <c r="B35" s="99"/>
      <c r="C35" s="2"/>
      <c r="D35" s="2"/>
      <c r="E35" s="2"/>
      <c r="F35" s="2"/>
      <c r="G35" s="2"/>
      <c r="I35" s="2"/>
      <c r="J35" s="293"/>
      <c r="K35" s="293"/>
      <c r="L35" s="144">
        <f>L34</f>
        <v>7.0349999999999996E-2</v>
      </c>
      <c r="M35" s="144">
        <f>M34</f>
        <v>6.4799999999999996E-2</v>
      </c>
      <c r="N35" s="478">
        <f>N34</f>
        <v>0</v>
      </c>
      <c r="O35" s="144">
        <f>O34</f>
        <v>1.296</v>
      </c>
    </row>
    <row r="36" spans="1:15" ht="15" x14ac:dyDescent="0.25">
      <c r="A36" s="99"/>
      <c r="B36" s="99"/>
      <c r="C36" s="99"/>
      <c r="D36" s="99"/>
      <c r="E36" s="99"/>
      <c r="F36" s="99"/>
      <c r="G36" s="99"/>
      <c r="H36" s="388"/>
      <c r="I36" s="99"/>
      <c r="J36" s="144"/>
      <c r="K36" s="144"/>
      <c r="L36" s="144"/>
      <c r="M36" s="144"/>
      <c r="N36" s="144"/>
      <c r="O36" s="144"/>
    </row>
    <row r="37" spans="1:15" ht="15" x14ac:dyDescent="0.25">
      <c r="A37" s="99"/>
      <c r="B37" s="99"/>
      <c r="C37" s="99"/>
      <c r="D37" s="99"/>
      <c r="E37" s="99"/>
      <c r="F37" s="99"/>
      <c r="G37" s="99"/>
      <c r="H37" s="388"/>
      <c r="I37" s="99"/>
      <c r="J37" s="77"/>
      <c r="K37" s="144"/>
      <c r="L37" s="144"/>
      <c r="M37" s="77"/>
      <c r="N37" s="77"/>
      <c r="O37" s="77"/>
    </row>
    <row r="38" spans="1:15" ht="15" x14ac:dyDescent="0.25">
      <c r="A38" s="99"/>
      <c r="B38" s="99"/>
      <c r="C38" s="99"/>
      <c r="D38" s="99"/>
      <c r="E38" s="99"/>
      <c r="F38" s="99"/>
      <c r="G38" s="99"/>
      <c r="H38" s="388"/>
      <c r="I38" s="99"/>
      <c r="J38" s="77"/>
      <c r="K38" s="77"/>
      <c r="L38" s="77"/>
      <c r="M38" s="77"/>
      <c r="N38" s="77"/>
      <c r="O38" s="77"/>
    </row>
    <row r="39" spans="1:15" ht="15" x14ac:dyDescent="0.25">
      <c r="A39" s="99"/>
      <c r="B39" s="99"/>
      <c r="C39" s="99"/>
      <c r="D39" s="99"/>
      <c r="E39" s="99"/>
      <c r="F39" s="99"/>
      <c r="G39" s="99"/>
      <c r="H39" s="388"/>
      <c r="I39" s="99"/>
      <c r="J39" s="77"/>
      <c r="K39" s="77"/>
      <c r="L39" s="77"/>
      <c r="M39" s="77"/>
      <c r="N39" s="77"/>
      <c r="O39" s="77"/>
    </row>
    <row r="40" spans="1:15" ht="15" x14ac:dyDescent="0.25">
      <c r="A40" s="99"/>
      <c r="B40" s="99"/>
      <c r="C40" s="99"/>
      <c r="D40" s="99"/>
      <c r="E40" s="99"/>
      <c r="F40" s="99"/>
      <c r="G40" s="99"/>
      <c r="H40" s="388"/>
      <c r="I40" s="99"/>
      <c r="J40" s="77"/>
      <c r="K40" s="77"/>
      <c r="L40" s="77"/>
      <c r="M40" s="77"/>
      <c r="N40" s="77"/>
      <c r="O40" s="77"/>
    </row>
    <row r="41" spans="1:15" ht="15" x14ac:dyDescent="0.25">
      <c r="A41" s="99"/>
      <c r="B41" s="99"/>
      <c r="C41" s="99"/>
      <c r="D41" s="99"/>
      <c r="E41" s="99"/>
      <c r="F41" s="99"/>
      <c r="G41" s="99"/>
      <c r="H41" s="388"/>
      <c r="I41" s="99"/>
      <c r="J41" s="77"/>
      <c r="K41" s="77"/>
      <c r="L41" s="77"/>
      <c r="M41" s="77"/>
      <c r="N41" s="77"/>
      <c r="O41" s="77"/>
    </row>
    <row r="42" spans="1:15" ht="15" x14ac:dyDescent="0.25">
      <c r="A42" s="99"/>
      <c r="B42" s="99"/>
      <c r="C42" s="99"/>
      <c r="D42" s="99"/>
      <c r="E42" s="99"/>
      <c r="F42" s="99"/>
      <c r="G42" s="99"/>
      <c r="H42" s="388"/>
      <c r="I42" s="99"/>
      <c r="J42" s="77"/>
      <c r="K42" s="77"/>
      <c r="L42" s="77"/>
      <c r="M42" s="77"/>
      <c r="N42" s="77"/>
      <c r="O42" s="77"/>
    </row>
    <row r="43" spans="1:15" ht="15" x14ac:dyDescent="0.25">
      <c r="A43" s="99"/>
      <c r="B43" s="99"/>
      <c r="C43" s="99"/>
      <c r="D43" s="99"/>
      <c r="E43" s="99"/>
      <c r="F43" s="99"/>
      <c r="G43" s="99"/>
      <c r="H43" s="388"/>
      <c r="I43" s="99"/>
      <c r="J43" s="77"/>
      <c r="K43" s="77"/>
      <c r="L43" s="77"/>
      <c r="M43" s="77"/>
      <c r="N43" s="77"/>
      <c r="O43" s="77"/>
    </row>
    <row r="44" spans="1:15" ht="15.6" thickBot="1" x14ac:dyDescent="0.3">
      <c r="A44" s="904"/>
      <c r="B44" s="904"/>
      <c r="C44" s="904"/>
      <c r="D44" s="904"/>
      <c r="E44" s="904"/>
      <c r="F44" s="904"/>
      <c r="G44" s="904"/>
      <c r="H44" s="904"/>
      <c r="I44" s="904"/>
      <c r="J44" s="904"/>
      <c r="K44" s="904"/>
      <c r="L44" s="904"/>
      <c r="M44" s="904"/>
      <c r="N44" s="904"/>
      <c r="O44" s="904"/>
    </row>
    <row r="45" spans="1:15" ht="15.6" x14ac:dyDescent="0.3">
      <c r="A45" s="905"/>
      <c r="B45" s="905"/>
      <c r="C45" s="905"/>
      <c r="D45" s="905"/>
      <c r="E45" s="905"/>
      <c r="F45" s="905"/>
      <c r="G45" s="99"/>
      <c r="H45" s="388"/>
      <c r="I45" s="99"/>
      <c r="J45" s="77"/>
      <c r="K45" s="77"/>
      <c r="L45" s="77"/>
      <c r="M45" s="77"/>
      <c r="N45" s="77"/>
      <c r="O45" s="77"/>
    </row>
    <row r="46" spans="1:15" ht="15.6" x14ac:dyDescent="0.3">
      <c r="A46" s="202"/>
      <c r="B46" s="203"/>
      <c r="C46" s="203"/>
      <c r="D46" s="202"/>
      <c r="E46" s="202"/>
      <c r="F46" s="202"/>
      <c r="G46" s="99"/>
      <c r="H46" s="384"/>
      <c r="I46" s="99"/>
      <c r="J46" s="77"/>
      <c r="K46" s="77"/>
      <c r="L46" s="77"/>
      <c r="M46" s="77"/>
      <c r="N46" s="77"/>
      <c r="O46" s="77"/>
    </row>
    <row r="47" spans="1:15" ht="15" x14ac:dyDescent="0.25">
      <c r="A47" s="391"/>
      <c r="B47" s="391"/>
      <c r="C47" s="391"/>
      <c r="D47" s="391"/>
      <c r="E47" s="391"/>
      <c r="F47" s="391"/>
      <c r="G47" s="99"/>
      <c r="H47" s="388"/>
      <c r="I47" s="99"/>
      <c r="J47" s="77"/>
      <c r="K47" s="77"/>
      <c r="L47" s="77"/>
      <c r="M47" s="77"/>
      <c r="N47" s="77"/>
      <c r="O47" s="77"/>
    </row>
    <row r="48" spans="1:15" ht="15" x14ac:dyDescent="0.25">
      <c r="A48" s="395"/>
      <c r="B48" s="392"/>
      <c r="C48" s="392"/>
      <c r="D48" s="392"/>
      <c r="E48" s="392"/>
      <c r="F48" s="205"/>
      <c r="G48" s="99"/>
      <c r="H48" s="388"/>
      <c r="I48" s="99"/>
      <c r="J48" s="77"/>
      <c r="K48" s="77"/>
      <c r="L48" s="77"/>
      <c r="M48" s="77"/>
      <c r="N48" s="77"/>
      <c r="O48" s="77"/>
    </row>
    <row r="49" spans="1:15" ht="15" x14ac:dyDescent="0.25">
      <c r="A49" s="395"/>
      <c r="B49" s="392"/>
      <c r="C49" s="392"/>
      <c r="D49" s="392"/>
      <c r="E49" s="392"/>
      <c r="F49" s="205"/>
      <c r="G49" s="99"/>
      <c r="H49" s="388"/>
      <c r="I49" s="99"/>
      <c r="J49" s="77"/>
      <c r="K49" s="77"/>
      <c r="L49" s="77"/>
      <c r="M49" s="77"/>
      <c r="N49" s="77"/>
      <c r="O49" s="77"/>
    </row>
    <row r="50" spans="1:15" ht="15" x14ac:dyDescent="0.25">
      <c r="A50" s="391"/>
      <c r="B50" s="392"/>
      <c r="C50" s="392"/>
      <c r="D50" s="392"/>
      <c r="E50" s="392"/>
      <c r="F50" s="205"/>
      <c r="G50" s="99"/>
      <c r="H50" s="388"/>
      <c r="I50" s="99"/>
      <c r="J50" s="77"/>
      <c r="K50" s="77"/>
      <c r="L50" s="77"/>
      <c r="M50" s="77"/>
      <c r="N50" s="77"/>
      <c r="O50" s="77"/>
    </row>
    <row r="51" spans="1:15" ht="15" x14ac:dyDescent="0.25">
      <c r="A51" s="395"/>
      <c r="B51" s="392"/>
      <c r="C51" s="392"/>
      <c r="D51" s="392"/>
      <c r="E51" s="392"/>
      <c r="F51" s="205"/>
      <c r="G51" s="99"/>
      <c r="H51" s="388"/>
      <c r="I51" s="99"/>
      <c r="J51" s="77"/>
      <c r="K51" s="77"/>
      <c r="L51" s="77"/>
      <c r="M51" s="77"/>
      <c r="N51" s="77"/>
      <c r="O51" s="77"/>
    </row>
    <row r="52" spans="1:15" ht="15" x14ac:dyDescent="0.25">
      <c r="A52" s="391"/>
      <c r="B52" s="392"/>
      <c r="C52" s="392"/>
      <c r="D52" s="392"/>
      <c r="E52" s="392"/>
      <c r="F52" s="205"/>
      <c r="G52" s="99"/>
      <c r="H52" s="388"/>
      <c r="I52" s="99"/>
      <c r="J52" s="77"/>
      <c r="K52" s="77"/>
      <c r="L52" s="77"/>
      <c r="M52" s="77"/>
      <c r="N52" s="77"/>
      <c r="O52" s="77"/>
    </row>
    <row r="53" spans="1:15" ht="15" x14ac:dyDescent="0.25">
      <c r="A53" s="391"/>
      <c r="B53" s="392"/>
      <c r="C53" s="392"/>
      <c r="D53" s="392"/>
      <c r="E53" s="392"/>
      <c r="F53" s="205"/>
      <c r="G53" s="99"/>
      <c r="H53" s="388"/>
      <c r="I53" s="99"/>
      <c r="J53" s="77"/>
      <c r="K53" s="77"/>
      <c r="L53" s="77"/>
      <c r="M53" s="77"/>
      <c r="N53" s="77"/>
      <c r="O53" s="77"/>
    </row>
    <row r="54" spans="1:15" ht="16.8" x14ac:dyDescent="0.4">
      <c r="A54" s="391"/>
      <c r="B54" s="393"/>
      <c r="C54" s="393"/>
      <c r="D54" s="393"/>
      <c r="E54" s="393"/>
      <c r="F54" s="207"/>
      <c r="G54" s="99"/>
      <c r="H54" s="389"/>
      <c r="I54" s="99"/>
      <c r="J54" s="77"/>
      <c r="K54" s="77"/>
      <c r="L54" s="77"/>
      <c r="M54" s="77"/>
      <c r="N54" s="77"/>
      <c r="O54" s="77"/>
    </row>
    <row r="55" spans="1:15" ht="16.8" x14ac:dyDescent="0.4">
      <c r="A55" s="391"/>
      <c r="B55" s="394"/>
      <c r="C55" s="394"/>
      <c r="D55" s="394"/>
      <c r="E55" s="394"/>
      <c r="F55" s="210"/>
      <c r="G55" s="99"/>
      <c r="H55" s="390"/>
      <c r="I55" s="99"/>
      <c r="J55" s="77"/>
      <c r="K55" s="77"/>
      <c r="L55" s="77"/>
      <c r="M55" s="77"/>
      <c r="N55" s="77"/>
      <c r="O55" s="77"/>
    </row>
    <row r="56" spans="1:15" ht="15" x14ac:dyDescent="0.25">
      <c r="A56" s="391"/>
      <c r="B56" s="391"/>
      <c r="C56" s="391"/>
      <c r="D56" s="391"/>
      <c r="E56" s="391"/>
      <c r="F56" s="391"/>
      <c r="G56" s="99"/>
      <c r="H56" s="388"/>
      <c r="I56" s="99"/>
      <c r="J56" s="77"/>
      <c r="K56" s="77"/>
      <c r="L56" s="77"/>
      <c r="M56" s="77"/>
      <c r="N56" s="77"/>
      <c r="O56" s="77"/>
    </row>
    <row r="57" spans="1:15" ht="15" x14ac:dyDescent="0.25">
      <c r="A57" s="99"/>
      <c r="B57" s="99"/>
      <c r="C57" s="99"/>
      <c r="D57" s="99"/>
      <c r="E57" s="99"/>
      <c r="F57" s="99"/>
      <c r="G57" s="99"/>
      <c r="H57" s="388"/>
      <c r="I57" s="99"/>
      <c r="J57" s="77"/>
      <c r="K57" s="77"/>
      <c r="L57" s="77"/>
      <c r="M57" s="77"/>
      <c r="N57" s="77"/>
      <c r="O57" s="77"/>
    </row>
    <row r="58" spans="1:15" ht="15" x14ac:dyDescent="0.25">
      <c r="A58" s="99"/>
      <c r="B58" s="99"/>
      <c r="C58" s="99"/>
      <c r="D58" s="99"/>
      <c r="E58" s="99"/>
      <c r="F58" s="99"/>
      <c r="G58" s="99"/>
      <c r="H58" s="388"/>
      <c r="I58" s="99"/>
      <c r="J58" s="77"/>
      <c r="K58" s="77"/>
      <c r="L58" s="77"/>
      <c r="M58" s="77"/>
      <c r="N58" s="77"/>
      <c r="O58" s="77"/>
    </row>
    <row r="59" spans="1:15" ht="15" x14ac:dyDescent="0.25">
      <c r="A59" s="99"/>
      <c r="B59" s="99"/>
      <c r="C59" s="99"/>
      <c r="D59" s="99"/>
      <c r="E59" s="99"/>
      <c r="F59" s="99"/>
      <c r="G59" s="99"/>
      <c r="H59" s="388"/>
      <c r="I59" s="99"/>
      <c r="J59" s="77"/>
      <c r="K59" s="77"/>
      <c r="L59" s="77"/>
      <c r="M59" s="77"/>
      <c r="N59" s="77"/>
      <c r="O59" s="77"/>
    </row>
    <row r="60" spans="1:15" ht="15" x14ac:dyDescent="0.25">
      <c r="A60" s="99"/>
      <c r="B60" s="99"/>
      <c r="C60" s="99"/>
      <c r="D60" s="99"/>
      <c r="E60" s="99"/>
      <c r="F60" s="99"/>
      <c r="G60" s="99"/>
      <c r="H60" s="388"/>
      <c r="I60" s="99"/>
      <c r="J60" s="77"/>
      <c r="K60" s="77"/>
      <c r="L60" s="77"/>
      <c r="M60" s="77"/>
      <c r="N60" s="77"/>
      <c r="O60" s="77"/>
    </row>
    <row r="61" spans="1:15" ht="15" x14ac:dyDescent="0.25">
      <c r="A61" s="99"/>
      <c r="B61" s="99"/>
      <c r="C61" s="99"/>
      <c r="D61" s="99"/>
      <c r="E61" s="99"/>
      <c r="F61" s="99"/>
      <c r="G61" s="99"/>
      <c r="H61" s="388"/>
      <c r="I61" s="99"/>
      <c r="J61" s="77"/>
      <c r="K61" s="77"/>
      <c r="L61" s="77"/>
      <c r="M61" s="77"/>
      <c r="N61" s="77"/>
      <c r="O61" s="77"/>
    </row>
    <row r="62" spans="1:15" ht="15" x14ac:dyDescent="0.25">
      <c r="A62" s="99"/>
      <c r="B62" s="99"/>
      <c r="C62" s="99"/>
      <c r="D62" s="99"/>
      <c r="E62" s="99"/>
      <c r="F62" s="99"/>
      <c r="G62" s="99"/>
      <c r="H62" s="388"/>
      <c r="I62" s="99"/>
      <c r="J62" s="77"/>
      <c r="K62" s="77"/>
      <c r="L62" s="77"/>
      <c r="M62" s="77"/>
      <c r="N62" s="77"/>
      <c r="O62" s="77"/>
    </row>
    <row r="63" spans="1:15" ht="15" x14ac:dyDescent="0.25">
      <c r="A63" s="99"/>
      <c r="B63" s="99"/>
      <c r="C63" s="99"/>
      <c r="D63" s="99"/>
      <c r="E63" s="99"/>
      <c r="F63" s="99"/>
      <c r="G63" s="99"/>
      <c r="H63" s="388"/>
      <c r="I63" s="99"/>
      <c r="J63" s="77"/>
      <c r="K63" s="77"/>
      <c r="L63" s="77"/>
      <c r="M63" s="77"/>
      <c r="N63" s="77"/>
      <c r="O63" s="77"/>
    </row>
    <row r="64" spans="1:15" ht="15" x14ac:dyDescent="0.25">
      <c r="A64" s="99"/>
      <c r="B64" s="99"/>
      <c r="C64" s="99"/>
      <c r="D64" s="99"/>
      <c r="E64" s="99"/>
      <c r="F64" s="99"/>
      <c r="G64" s="99"/>
      <c r="H64" s="388"/>
      <c r="I64" s="99"/>
      <c r="J64" s="77"/>
      <c r="K64" s="77"/>
      <c r="L64" s="77"/>
      <c r="M64" s="77"/>
      <c r="N64" s="77"/>
      <c r="O64" s="77"/>
    </row>
    <row r="65" spans="1:15" ht="15" x14ac:dyDescent="0.25">
      <c r="A65" s="99"/>
      <c r="B65" s="99"/>
      <c r="C65" s="99"/>
      <c r="D65" s="99"/>
      <c r="E65" s="99"/>
      <c r="F65" s="99"/>
      <c r="G65" s="99"/>
      <c r="H65" s="388"/>
      <c r="I65" s="99"/>
      <c r="J65" s="77"/>
      <c r="K65" s="77"/>
      <c r="L65" s="77"/>
      <c r="M65" s="77"/>
      <c r="N65" s="77"/>
      <c r="O65" s="77"/>
    </row>
    <row r="66" spans="1:15" ht="15" x14ac:dyDescent="0.25">
      <c r="A66" s="99"/>
      <c r="B66" s="99"/>
      <c r="C66" s="99"/>
      <c r="D66" s="99"/>
      <c r="E66" s="99"/>
      <c r="F66" s="99"/>
      <c r="G66" s="99"/>
      <c r="H66" s="388"/>
      <c r="I66" s="99"/>
      <c r="J66" s="77"/>
      <c r="K66" s="77"/>
      <c r="L66" s="77"/>
      <c r="M66" s="77"/>
      <c r="N66" s="77"/>
      <c r="O66" s="77"/>
    </row>
    <row r="67" spans="1:15" ht="15" x14ac:dyDescent="0.25">
      <c r="A67" s="99"/>
      <c r="B67" s="99"/>
      <c r="C67" s="99"/>
      <c r="D67" s="99"/>
      <c r="E67" s="99"/>
      <c r="F67" s="99"/>
      <c r="G67" s="99"/>
      <c r="H67" s="388"/>
      <c r="I67" s="99"/>
      <c r="J67" s="77"/>
      <c r="K67" s="77"/>
      <c r="L67" s="77"/>
      <c r="M67" s="77"/>
      <c r="N67" s="77"/>
      <c r="O67" s="77"/>
    </row>
    <row r="68" spans="1:15" ht="15" x14ac:dyDescent="0.25">
      <c r="A68" s="99"/>
      <c r="B68" s="99"/>
      <c r="C68" s="99"/>
      <c r="D68" s="99"/>
      <c r="E68" s="99"/>
      <c r="F68" s="99"/>
      <c r="G68" s="99"/>
      <c r="H68" s="388"/>
      <c r="I68" s="99"/>
      <c r="J68" s="77"/>
      <c r="K68" s="77"/>
      <c r="L68" s="77"/>
      <c r="M68" s="77"/>
      <c r="N68" s="77"/>
      <c r="O68" s="77"/>
    </row>
    <row r="69" spans="1:15" ht="15" x14ac:dyDescent="0.25">
      <c r="A69" s="99"/>
      <c r="B69" s="99"/>
      <c r="C69" s="99"/>
      <c r="D69" s="99"/>
      <c r="E69" s="99"/>
      <c r="F69" s="99"/>
      <c r="G69" s="99"/>
      <c r="H69" s="388"/>
      <c r="I69" s="99"/>
      <c r="J69" s="77"/>
      <c r="K69" s="77"/>
      <c r="L69" s="77"/>
      <c r="M69" s="77"/>
      <c r="N69" s="77"/>
      <c r="O69" s="77"/>
    </row>
    <row r="70" spans="1:15" ht="15" x14ac:dyDescent="0.25">
      <c r="A70" s="99"/>
      <c r="B70" s="99"/>
      <c r="C70" s="99"/>
      <c r="D70" s="99"/>
      <c r="E70" s="99"/>
      <c r="F70" s="99"/>
      <c r="G70" s="99"/>
      <c r="H70" s="388"/>
      <c r="I70" s="99"/>
      <c r="J70" s="77"/>
      <c r="K70" s="77"/>
      <c r="L70" s="77"/>
      <c r="M70" s="77"/>
      <c r="N70" s="77"/>
      <c r="O70" s="77"/>
    </row>
    <row r="71" spans="1:15" ht="15" x14ac:dyDescent="0.25">
      <c r="A71" s="99"/>
      <c r="B71" s="99"/>
      <c r="C71" s="99"/>
      <c r="D71" s="99"/>
      <c r="E71" s="99"/>
      <c r="F71" s="99"/>
      <c r="G71" s="99"/>
      <c r="H71" s="388"/>
      <c r="I71" s="99"/>
      <c r="J71" s="77"/>
      <c r="K71" s="77"/>
      <c r="L71" s="77"/>
      <c r="M71" s="77"/>
      <c r="N71" s="77"/>
      <c r="O71" s="77"/>
    </row>
    <row r="72" spans="1:15" ht="15" x14ac:dyDescent="0.25">
      <c r="A72" s="99"/>
      <c r="B72" s="99"/>
      <c r="C72" s="99"/>
      <c r="D72" s="99"/>
      <c r="E72" s="99"/>
      <c r="F72" s="99"/>
      <c r="G72" s="99"/>
      <c r="H72" s="388"/>
      <c r="I72" s="99"/>
      <c r="J72" s="77"/>
      <c r="K72" s="77"/>
      <c r="L72" s="77"/>
      <c r="M72" s="77"/>
      <c r="N72" s="77"/>
      <c r="O72" s="77"/>
    </row>
    <row r="73" spans="1:15" ht="15" x14ac:dyDescent="0.25">
      <c r="A73" s="99"/>
      <c r="B73" s="99"/>
      <c r="C73" s="99"/>
      <c r="D73" s="99"/>
      <c r="E73" s="99"/>
      <c r="F73" s="99"/>
      <c r="G73" s="99"/>
      <c r="H73" s="388"/>
      <c r="I73" s="99"/>
      <c r="J73" s="77"/>
      <c r="K73" s="77"/>
      <c r="L73" s="77"/>
      <c r="M73" s="77"/>
      <c r="N73" s="77"/>
      <c r="O73" s="77"/>
    </row>
    <row r="74" spans="1:15" ht="15" x14ac:dyDescent="0.25">
      <c r="A74" s="99"/>
      <c r="B74" s="99"/>
      <c r="C74" s="99"/>
      <c r="D74" s="99"/>
      <c r="E74" s="99"/>
      <c r="F74" s="99"/>
      <c r="G74" s="99"/>
      <c r="H74" s="388"/>
      <c r="I74" s="99"/>
      <c r="J74" s="77"/>
      <c r="K74" s="77"/>
      <c r="L74" s="77"/>
      <c r="M74" s="77"/>
      <c r="N74" s="77"/>
      <c r="O74" s="77"/>
    </row>
    <row r="75" spans="1:15" ht="15" x14ac:dyDescent="0.25">
      <c r="A75" s="99"/>
      <c r="B75" s="99"/>
      <c r="C75" s="99"/>
      <c r="D75" s="99"/>
      <c r="E75" s="99"/>
      <c r="F75" s="99"/>
      <c r="G75" s="99"/>
      <c r="H75" s="388"/>
      <c r="I75" s="99"/>
      <c r="J75" s="77"/>
      <c r="K75" s="77"/>
      <c r="L75" s="77"/>
      <c r="M75" s="77"/>
      <c r="N75" s="77"/>
      <c r="O75" s="77"/>
    </row>
    <row r="76" spans="1:15" ht="15" x14ac:dyDescent="0.25">
      <c r="A76" s="99"/>
      <c r="B76" s="99"/>
      <c r="C76" s="99"/>
      <c r="D76" s="99"/>
      <c r="E76" s="99"/>
      <c r="F76" s="99"/>
      <c r="G76" s="99"/>
      <c r="H76" s="388"/>
      <c r="I76" s="99"/>
      <c r="J76" s="77"/>
      <c r="K76" s="77"/>
      <c r="L76" s="77"/>
      <c r="M76" s="77"/>
      <c r="N76" s="77"/>
      <c r="O76" s="77"/>
    </row>
    <row r="77" spans="1:15" ht="15" x14ac:dyDescent="0.25">
      <c r="A77" s="99"/>
      <c r="B77" s="99"/>
      <c r="C77" s="99"/>
      <c r="D77" s="99"/>
      <c r="E77" s="99"/>
      <c r="F77" s="99"/>
      <c r="G77" s="99"/>
      <c r="H77" s="388"/>
      <c r="I77" s="99"/>
      <c r="J77" s="77"/>
      <c r="K77" s="77"/>
      <c r="L77" s="77"/>
      <c r="M77" s="77"/>
      <c r="N77" s="77"/>
      <c r="O77" s="77"/>
    </row>
    <row r="78" spans="1:15" ht="15" x14ac:dyDescent="0.25">
      <c r="A78" s="99"/>
      <c r="B78" s="99"/>
      <c r="C78" s="99"/>
      <c r="D78" s="99"/>
      <c r="E78" s="99"/>
      <c r="F78" s="99"/>
      <c r="G78" s="99"/>
      <c r="H78" s="388"/>
      <c r="I78" s="99"/>
      <c r="J78" s="77"/>
      <c r="K78" s="77"/>
      <c r="L78" s="77"/>
      <c r="M78" s="77"/>
      <c r="N78" s="77"/>
      <c r="O78" s="77"/>
    </row>
    <row r="79" spans="1:15" ht="15" x14ac:dyDescent="0.25">
      <c r="A79" s="99"/>
      <c r="B79" s="99"/>
      <c r="C79" s="99"/>
      <c r="D79" s="99"/>
      <c r="E79" s="99"/>
      <c r="F79" s="99"/>
      <c r="G79" s="99"/>
      <c r="H79" s="388"/>
      <c r="I79" s="99"/>
      <c r="J79" s="77"/>
      <c r="K79" s="77"/>
      <c r="L79" s="77"/>
      <c r="M79" s="77"/>
      <c r="N79" s="77"/>
      <c r="O79" s="77"/>
    </row>
    <row r="80" spans="1:15" ht="15" x14ac:dyDescent="0.25">
      <c r="A80" s="99"/>
      <c r="B80" s="99"/>
      <c r="C80" s="99"/>
      <c r="D80" s="99"/>
      <c r="E80" s="99"/>
      <c r="F80" s="99"/>
      <c r="G80" s="99"/>
      <c r="H80" s="388"/>
      <c r="I80" s="99"/>
      <c r="J80" s="77"/>
      <c r="K80" s="77"/>
      <c r="L80" s="77"/>
      <c r="M80" s="77"/>
      <c r="N80" s="77"/>
      <c r="O80" s="77"/>
    </row>
    <row r="81" spans="1:15" ht="15" x14ac:dyDescent="0.25">
      <c r="A81" s="99"/>
      <c r="B81" s="99"/>
      <c r="C81" s="99"/>
      <c r="D81" s="99"/>
      <c r="E81" s="99"/>
      <c r="F81" s="99"/>
      <c r="G81" s="99"/>
      <c r="H81" s="388"/>
      <c r="I81" s="99"/>
      <c r="J81" s="77"/>
      <c r="K81" s="77"/>
      <c r="L81" s="77"/>
      <c r="M81" s="77"/>
      <c r="N81" s="77"/>
      <c r="O81" s="77"/>
    </row>
    <row r="82" spans="1:15" ht="15" x14ac:dyDescent="0.25">
      <c r="A82" s="99"/>
      <c r="B82" s="99"/>
      <c r="C82" s="99"/>
      <c r="D82" s="99"/>
      <c r="E82" s="99"/>
      <c r="F82" s="99"/>
      <c r="G82" s="99"/>
      <c r="H82" s="388"/>
      <c r="I82" s="99"/>
      <c r="J82" s="77"/>
      <c r="K82" s="77"/>
      <c r="L82" s="77"/>
      <c r="M82" s="77"/>
      <c r="N82" s="77"/>
      <c r="O82" s="77"/>
    </row>
    <row r="83" spans="1:15" ht="15" x14ac:dyDescent="0.25">
      <c r="A83" s="99"/>
      <c r="B83" s="99"/>
      <c r="C83" s="99"/>
      <c r="D83" s="99"/>
      <c r="E83" s="99"/>
      <c r="F83" s="99"/>
      <c r="G83" s="99"/>
      <c r="H83" s="388"/>
      <c r="I83" s="99"/>
      <c r="J83" s="77"/>
      <c r="K83" s="77"/>
      <c r="L83" s="77"/>
      <c r="M83" s="77"/>
      <c r="N83" s="77"/>
      <c r="O83" s="77"/>
    </row>
    <row r="84" spans="1:15" ht="15" x14ac:dyDescent="0.25">
      <c r="A84" s="99"/>
      <c r="B84" s="99"/>
      <c r="C84" s="99"/>
      <c r="D84" s="99"/>
      <c r="E84" s="99"/>
      <c r="F84" s="99"/>
      <c r="G84" s="99"/>
      <c r="H84" s="388"/>
      <c r="I84" s="99"/>
      <c r="J84" s="77"/>
      <c r="K84" s="77"/>
      <c r="L84" s="77"/>
      <c r="M84" s="77"/>
      <c r="N84" s="77"/>
      <c r="O84" s="77"/>
    </row>
    <row r="85" spans="1:15" ht="15" x14ac:dyDescent="0.25">
      <c r="A85" s="99"/>
      <c r="B85" s="99"/>
      <c r="C85" s="99"/>
      <c r="D85" s="99"/>
      <c r="E85" s="99"/>
      <c r="F85" s="99"/>
      <c r="G85" s="99"/>
      <c r="H85" s="388"/>
      <c r="I85" s="99"/>
      <c r="J85" s="77"/>
      <c r="K85" s="77"/>
      <c r="L85" s="77"/>
      <c r="M85" s="77"/>
      <c r="N85" s="77"/>
      <c r="O85" s="77"/>
    </row>
    <row r="86" spans="1:15" ht="15" x14ac:dyDescent="0.25">
      <c r="A86" s="99"/>
      <c r="B86" s="99"/>
      <c r="C86" s="99"/>
      <c r="D86" s="99"/>
      <c r="E86" s="99"/>
      <c r="F86" s="99"/>
      <c r="G86" s="99"/>
      <c r="H86" s="388"/>
      <c r="I86" s="99"/>
      <c r="J86" s="77"/>
      <c r="K86" s="77"/>
      <c r="L86" s="77"/>
      <c r="M86" s="77"/>
      <c r="N86" s="77"/>
      <c r="O86" s="77"/>
    </row>
    <row r="87" spans="1:15" ht="15" x14ac:dyDescent="0.25">
      <c r="A87" s="99"/>
      <c r="B87" s="99"/>
      <c r="C87" s="99"/>
      <c r="D87" s="99"/>
      <c r="E87" s="99"/>
      <c r="F87" s="99"/>
      <c r="G87" s="99"/>
      <c r="H87" s="388"/>
      <c r="I87" s="99"/>
      <c r="J87" s="77"/>
      <c r="K87" s="77"/>
      <c r="L87" s="77"/>
      <c r="M87" s="77"/>
      <c r="N87" s="77"/>
      <c r="O87" s="77"/>
    </row>
    <row r="88" spans="1:15" ht="15" x14ac:dyDescent="0.25">
      <c r="A88" s="99"/>
      <c r="B88" s="99"/>
      <c r="C88" s="99"/>
      <c r="D88" s="99"/>
      <c r="E88" s="99"/>
      <c r="F88" s="99"/>
      <c r="G88" s="99"/>
      <c r="H88" s="388"/>
      <c r="I88" s="99"/>
      <c r="J88" s="77"/>
      <c r="K88" s="77"/>
      <c r="L88" s="77"/>
      <c r="M88" s="77"/>
      <c r="N88" s="77"/>
      <c r="O88" s="77"/>
    </row>
    <row r="89" spans="1:15" ht="15" x14ac:dyDescent="0.25">
      <c r="A89" s="99"/>
      <c r="B89" s="99"/>
      <c r="C89" s="99"/>
      <c r="D89" s="99"/>
      <c r="E89" s="99"/>
      <c r="F89" s="99"/>
      <c r="G89" s="99"/>
      <c r="H89" s="388"/>
      <c r="I89" s="99"/>
      <c r="J89" s="77"/>
      <c r="K89" s="77"/>
      <c r="L89" s="77"/>
      <c r="M89" s="77"/>
      <c r="N89" s="77"/>
      <c r="O89" s="77"/>
    </row>
    <row r="90" spans="1:15" ht="15" x14ac:dyDescent="0.25">
      <c r="A90" s="99"/>
      <c r="B90" s="99"/>
      <c r="C90" s="99"/>
      <c r="D90" s="99"/>
      <c r="E90" s="99"/>
      <c r="F90" s="99"/>
      <c r="G90" s="99"/>
      <c r="H90" s="388"/>
      <c r="I90" s="99"/>
      <c r="J90" s="77"/>
      <c r="K90" s="77"/>
      <c r="L90" s="77"/>
      <c r="M90" s="77"/>
      <c r="N90" s="77"/>
      <c r="O90" s="77"/>
    </row>
    <row r="91" spans="1:15" ht="15" x14ac:dyDescent="0.25">
      <c r="A91" s="99"/>
      <c r="B91" s="99"/>
      <c r="C91" s="99"/>
      <c r="D91" s="99"/>
      <c r="E91" s="99"/>
      <c r="F91" s="99"/>
      <c r="G91" s="99"/>
      <c r="H91" s="388"/>
      <c r="I91" s="99"/>
      <c r="J91" s="77"/>
      <c r="K91" s="77"/>
      <c r="L91" s="77"/>
      <c r="M91" s="77"/>
      <c r="N91" s="77"/>
      <c r="O91" s="77"/>
    </row>
    <row r="92" spans="1:15" ht="15" x14ac:dyDescent="0.25">
      <c r="A92" s="99"/>
      <c r="B92" s="99"/>
      <c r="C92" s="99"/>
      <c r="D92" s="99"/>
      <c r="E92" s="99"/>
      <c r="F92" s="99"/>
      <c r="G92" s="99"/>
      <c r="H92" s="388"/>
      <c r="I92" s="99"/>
      <c r="J92" s="77"/>
      <c r="K92" s="77"/>
      <c r="L92" s="77"/>
      <c r="M92" s="77"/>
      <c r="N92" s="77"/>
      <c r="O92" s="77"/>
    </row>
    <row r="93" spans="1:15" ht="15" x14ac:dyDescent="0.25">
      <c r="A93" s="99"/>
      <c r="B93" s="99"/>
      <c r="C93" s="99"/>
      <c r="D93" s="99"/>
      <c r="E93" s="99"/>
      <c r="F93" s="99"/>
      <c r="G93" s="99"/>
      <c r="H93" s="388"/>
      <c r="I93" s="99"/>
      <c r="J93" s="77"/>
      <c r="K93" s="77"/>
      <c r="L93" s="77"/>
      <c r="M93" s="77"/>
      <c r="N93" s="77"/>
      <c r="O93" s="77"/>
    </row>
    <row r="94" spans="1:15" ht="15" x14ac:dyDescent="0.25">
      <c r="A94" s="99"/>
      <c r="B94" s="99"/>
      <c r="C94" s="99"/>
      <c r="D94" s="99"/>
      <c r="E94" s="99"/>
      <c r="F94" s="99"/>
      <c r="G94" s="99"/>
      <c r="H94" s="388"/>
      <c r="I94" s="99"/>
      <c r="J94" s="77"/>
      <c r="K94" s="77"/>
      <c r="L94" s="77"/>
      <c r="M94" s="77"/>
      <c r="N94" s="77"/>
      <c r="O94" s="77"/>
    </row>
    <row r="95" spans="1:15" ht="15" x14ac:dyDescent="0.25">
      <c r="A95" s="99"/>
      <c r="B95" s="99"/>
      <c r="C95" s="99"/>
      <c r="D95" s="99"/>
      <c r="E95" s="99"/>
      <c r="F95" s="99"/>
      <c r="G95" s="99"/>
      <c r="H95" s="388"/>
      <c r="I95" s="99"/>
      <c r="J95" s="77"/>
      <c r="K95" s="77"/>
      <c r="L95" s="77"/>
      <c r="M95" s="77"/>
      <c r="N95" s="77"/>
      <c r="O95" s="77"/>
    </row>
    <row r="96" spans="1:15" ht="15" x14ac:dyDescent="0.25">
      <c r="A96" s="99"/>
      <c r="B96" s="99"/>
      <c r="C96" s="99"/>
      <c r="D96" s="99"/>
      <c r="E96" s="99"/>
      <c r="F96" s="99"/>
      <c r="G96" s="99"/>
      <c r="H96" s="388"/>
      <c r="I96" s="99"/>
      <c r="J96" s="77"/>
      <c r="K96" s="77"/>
      <c r="L96" s="77"/>
      <c r="M96" s="77"/>
      <c r="N96" s="77"/>
      <c r="O96" s="77"/>
    </row>
    <row r="97" spans="1:15" ht="15.6" thickBot="1" x14ac:dyDescent="0.3">
      <c r="A97" s="99"/>
      <c r="B97" s="99"/>
      <c r="C97" s="99"/>
      <c r="D97" s="99"/>
      <c r="E97" s="99"/>
      <c r="F97" s="99"/>
      <c r="G97" s="99"/>
      <c r="H97" s="388"/>
      <c r="I97" s="99"/>
      <c r="J97" s="77"/>
      <c r="K97" s="77"/>
      <c r="L97" s="77"/>
      <c r="M97" s="77"/>
      <c r="N97" s="77"/>
      <c r="O97" s="77"/>
    </row>
    <row r="98" spans="1:15" ht="15" x14ac:dyDescent="0.25">
      <c r="A98" s="894" t="s">
        <v>195</v>
      </c>
      <c r="B98" s="895"/>
      <c r="C98" s="895"/>
      <c r="D98" s="895"/>
      <c r="E98" s="895"/>
      <c r="F98" s="896"/>
      <c r="G98" s="99"/>
      <c r="H98" s="388"/>
      <c r="I98" s="99"/>
      <c r="J98" s="77"/>
      <c r="K98" s="77"/>
      <c r="L98" s="77"/>
      <c r="M98" s="77"/>
      <c r="N98" s="77"/>
      <c r="O98" s="77"/>
    </row>
    <row r="99" spans="1:15" ht="15.6" thickBot="1" x14ac:dyDescent="0.3">
      <c r="A99" s="897"/>
      <c r="B99" s="898"/>
      <c r="C99" s="898"/>
      <c r="D99" s="898"/>
      <c r="E99" s="898"/>
      <c r="F99" s="899"/>
      <c r="G99" s="99"/>
      <c r="H99" s="388"/>
      <c r="I99" s="99"/>
      <c r="J99" s="77"/>
      <c r="K99" s="77"/>
      <c r="L99" s="77"/>
      <c r="M99" s="77"/>
      <c r="N99" s="77"/>
      <c r="O99" s="77"/>
    </row>
    <row r="100" spans="1:15" ht="15" x14ac:dyDescent="0.25">
      <c r="A100" s="162" t="s">
        <v>5</v>
      </c>
      <c r="B100" s="161" t="s">
        <v>6</v>
      </c>
      <c r="C100" s="161" t="s">
        <v>13</v>
      </c>
      <c r="D100" s="161" t="s">
        <v>82</v>
      </c>
      <c r="E100" s="161" t="s">
        <v>115</v>
      </c>
      <c r="F100" s="163" t="s">
        <v>116</v>
      </c>
      <c r="G100" s="99"/>
      <c r="H100" s="388"/>
      <c r="I100" s="99"/>
      <c r="J100" s="77"/>
      <c r="K100" s="77"/>
      <c r="L100" s="77"/>
      <c r="M100" s="77"/>
      <c r="N100" s="77"/>
      <c r="O100" s="77"/>
    </row>
    <row r="101" spans="1:15" ht="15" x14ac:dyDescent="0.25">
      <c r="A101" s="396" t="s">
        <v>239</v>
      </c>
      <c r="B101" s="106"/>
      <c r="C101" s="106"/>
      <c r="D101" s="106"/>
      <c r="E101" s="106"/>
      <c r="F101" s="107"/>
      <c r="G101" s="99"/>
      <c r="H101" s="388"/>
      <c r="I101" s="99"/>
      <c r="J101" s="77"/>
      <c r="K101" s="77"/>
      <c r="L101" s="77"/>
      <c r="M101" s="77"/>
      <c r="N101" s="77"/>
      <c r="O101" s="77"/>
    </row>
    <row r="102" spans="1:15" ht="30" x14ac:dyDescent="0.25">
      <c r="A102" s="396" t="s">
        <v>91</v>
      </c>
      <c r="B102" s="106" t="s">
        <v>190</v>
      </c>
      <c r="C102" s="106" t="s">
        <v>18</v>
      </c>
      <c r="D102" s="106" t="s">
        <v>8</v>
      </c>
      <c r="E102" s="106" t="s">
        <v>36</v>
      </c>
      <c r="F102" s="107" t="s">
        <v>29</v>
      </c>
      <c r="G102" s="99"/>
      <c r="H102" s="388"/>
      <c r="I102" s="99"/>
      <c r="J102" s="77"/>
      <c r="K102" s="77"/>
      <c r="L102" s="77"/>
      <c r="M102" s="77"/>
      <c r="N102" s="77"/>
      <c r="O102" s="77"/>
    </row>
    <row r="103" spans="1:15" ht="30" x14ac:dyDescent="0.25">
      <c r="A103" s="397" t="s">
        <v>27</v>
      </c>
      <c r="B103" s="106" t="s">
        <v>192</v>
      </c>
      <c r="C103" s="106" t="s">
        <v>15</v>
      </c>
      <c r="D103" s="106" t="s">
        <v>84</v>
      </c>
      <c r="E103" s="106" t="s">
        <v>35</v>
      </c>
      <c r="F103" s="107" t="s">
        <v>28</v>
      </c>
      <c r="G103" s="99"/>
      <c r="H103" s="388"/>
      <c r="I103" s="99"/>
      <c r="J103" s="77"/>
      <c r="K103" s="77"/>
      <c r="L103" s="77"/>
      <c r="M103" s="77"/>
      <c r="N103" s="77"/>
      <c r="O103" s="77"/>
    </row>
    <row r="104" spans="1:15" ht="30" x14ac:dyDescent="0.25">
      <c r="A104" s="397" t="s">
        <v>125</v>
      </c>
      <c r="B104" s="106" t="s">
        <v>191</v>
      </c>
      <c r="C104" s="106" t="s">
        <v>16</v>
      </c>
      <c r="D104" s="106"/>
      <c r="E104" s="106" t="s">
        <v>46</v>
      </c>
      <c r="F104" s="107" t="s">
        <v>34</v>
      </c>
      <c r="G104" s="99"/>
      <c r="H104" s="388"/>
      <c r="I104" s="99"/>
      <c r="J104" s="77"/>
      <c r="K104" s="77"/>
      <c r="L104" s="77"/>
      <c r="M104" s="77"/>
      <c r="N104" s="77"/>
      <c r="O104" s="77"/>
    </row>
    <row r="105" spans="1:15" ht="15" x14ac:dyDescent="0.25">
      <c r="A105" s="396" t="s">
        <v>128</v>
      </c>
      <c r="B105" s="106" t="s">
        <v>193</v>
      </c>
      <c r="C105" s="106" t="s">
        <v>20</v>
      </c>
      <c r="D105" s="106"/>
      <c r="E105" s="106" t="s">
        <v>142</v>
      </c>
      <c r="F105" s="107" t="s">
        <v>142</v>
      </c>
      <c r="G105" s="99"/>
      <c r="H105" s="388"/>
      <c r="I105" s="99"/>
      <c r="J105" s="77"/>
      <c r="K105" s="77"/>
      <c r="L105" s="77"/>
      <c r="M105" s="77"/>
      <c r="N105" s="77"/>
      <c r="O105" s="77"/>
    </row>
    <row r="106" spans="1:15" ht="15" x14ac:dyDescent="0.25">
      <c r="A106" s="397" t="s">
        <v>92</v>
      </c>
      <c r="B106" s="106"/>
      <c r="C106" s="106" t="s">
        <v>19</v>
      </c>
      <c r="D106" s="106"/>
      <c r="E106" s="106" t="s">
        <v>37</v>
      </c>
      <c r="F106" s="107" t="s">
        <v>30</v>
      </c>
      <c r="G106" s="99"/>
      <c r="H106" s="388"/>
      <c r="I106" s="99"/>
      <c r="J106" s="77"/>
      <c r="K106" s="77"/>
      <c r="L106" s="77"/>
      <c r="M106" s="77"/>
      <c r="N106" s="77"/>
      <c r="O106" s="77"/>
    </row>
    <row r="107" spans="1:15" ht="30" x14ac:dyDescent="0.25">
      <c r="A107" s="396" t="s">
        <v>308</v>
      </c>
      <c r="B107" s="106"/>
      <c r="C107" s="106" t="s">
        <v>21</v>
      </c>
      <c r="D107" s="106"/>
      <c r="E107" s="106" t="s">
        <v>117</v>
      </c>
      <c r="F107" s="107" t="s">
        <v>121</v>
      </c>
      <c r="G107" s="99"/>
      <c r="H107" s="388"/>
      <c r="I107" s="99"/>
      <c r="J107" s="77"/>
      <c r="K107" s="77"/>
      <c r="L107" s="77"/>
      <c r="M107" s="77"/>
      <c r="N107" s="77"/>
      <c r="O107" s="77"/>
    </row>
    <row r="108" spans="1:15" ht="30" x14ac:dyDescent="0.25">
      <c r="A108" s="396" t="s">
        <v>309</v>
      </c>
      <c r="B108" s="106"/>
      <c r="C108" s="106" t="s">
        <v>14</v>
      </c>
      <c r="D108" s="106"/>
      <c r="E108" s="106" t="s">
        <v>42</v>
      </c>
      <c r="F108" s="107" t="s">
        <v>40</v>
      </c>
      <c r="G108" s="99"/>
      <c r="H108" s="388"/>
      <c r="I108" s="99"/>
      <c r="J108" s="77"/>
      <c r="K108" s="77"/>
      <c r="L108" s="77"/>
      <c r="M108" s="77"/>
      <c r="N108" s="77"/>
      <c r="O108" s="77"/>
    </row>
    <row r="109" spans="1:15" ht="30" x14ac:dyDescent="0.25">
      <c r="A109" s="396" t="s">
        <v>307</v>
      </c>
      <c r="B109" s="106"/>
      <c r="C109" s="106" t="s">
        <v>17</v>
      </c>
      <c r="D109" s="106"/>
      <c r="E109" s="106" t="s">
        <v>38</v>
      </c>
      <c r="F109" s="107" t="s">
        <v>31</v>
      </c>
      <c r="G109" s="99"/>
      <c r="H109" s="388"/>
      <c r="I109" s="99"/>
      <c r="J109" s="77"/>
      <c r="K109" s="77"/>
      <c r="L109" s="77"/>
      <c r="M109" s="77"/>
      <c r="N109" s="77"/>
      <c r="O109" s="77"/>
    </row>
    <row r="110" spans="1:15" ht="15" x14ac:dyDescent="0.25">
      <c r="A110" s="397" t="s">
        <v>4</v>
      </c>
      <c r="B110" s="106"/>
      <c r="C110" s="106"/>
      <c r="D110" s="106"/>
      <c r="E110" s="106" t="s">
        <v>41</v>
      </c>
      <c r="F110" s="107" t="s">
        <v>39</v>
      </c>
      <c r="G110" s="99"/>
      <c r="H110" s="388"/>
      <c r="I110" s="99"/>
      <c r="J110" s="77"/>
      <c r="K110" s="77"/>
      <c r="L110" s="77"/>
      <c r="M110" s="77"/>
      <c r="N110" s="77"/>
      <c r="O110" s="77"/>
    </row>
    <row r="111" spans="1:15" ht="15" x14ac:dyDescent="0.25">
      <c r="A111" s="397" t="s">
        <v>126</v>
      </c>
      <c r="B111" s="106"/>
      <c r="C111" s="106"/>
      <c r="D111" s="106"/>
      <c r="E111" s="106" t="s">
        <v>43</v>
      </c>
      <c r="F111" s="107" t="s">
        <v>120</v>
      </c>
      <c r="G111" s="99"/>
      <c r="H111" s="388"/>
      <c r="I111" s="99"/>
      <c r="J111" s="77"/>
      <c r="K111" s="77"/>
      <c r="L111" s="77"/>
      <c r="M111" s="77"/>
      <c r="N111" s="77"/>
      <c r="O111" s="77"/>
    </row>
    <row r="112" spans="1:15" x14ac:dyDescent="0.25">
      <c r="A112" s="2" t="s">
        <v>238</v>
      </c>
      <c r="B112" s="2"/>
      <c r="C112" s="2"/>
      <c r="D112" s="2"/>
      <c r="E112" s="2" t="s">
        <v>118</v>
      </c>
      <c r="F112" s="2" t="s">
        <v>122</v>
      </c>
      <c r="G112" s="2"/>
      <c r="I112" s="2"/>
    </row>
    <row r="113" spans="1:9" x14ac:dyDescent="0.25">
      <c r="A113" s="2" t="s">
        <v>183</v>
      </c>
      <c r="B113" s="2"/>
      <c r="C113" s="2"/>
      <c r="D113" s="2"/>
      <c r="E113" s="2" t="s">
        <v>45</v>
      </c>
      <c r="F113" s="2" t="s">
        <v>32</v>
      </c>
      <c r="G113" s="2"/>
      <c r="I113" s="2"/>
    </row>
    <row r="114" spans="1:9" x14ac:dyDescent="0.25">
      <c r="A114" s="2"/>
      <c r="B114" s="2"/>
      <c r="C114" s="2"/>
      <c r="D114" s="2"/>
      <c r="E114" s="2"/>
      <c r="F114" s="2"/>
      <c r="G114" s="2"/>
      <c r="I114" s="2"/>
    </row>
    <row r="115" spans="1:9" x14ac:dyDescent="0.25">
      <c r="A115" s="2"/>
      <c r="B115" s="2"/>
      <c r="C115" s="2"/>
      <c r="D115" s="2"/>
      <c r="E115" s="2"/>
      <c r="F115" s="2"/>
      <c r="G115" s="2"/>
      <c r="I115" s="2"/>
    </row>
    <row r="116" spans="1:9" x14ac:dyDescent="0.25">
      <c r="A116" s="2"/>
      <c r="B116" s="2"/>
      <c r="C116" s="2"/>
      <c r="D116" s="2"/>
      <c r="E116" s="2"/>
      <c r="F116" s="2"/>
      <c r="G116" s="2"/>
      <c r="I116" s="2"/>
    </row>
    <row r="117" spans="1:9" x14ac:dyDescent="0.25">
      <c r="A117" s="2"/>
      <c r="B117" s="2"/>
      <c r="C117" s="2"/>
      <c r="D117" s="2"/>
      <c r="E117" s="2"/>
      <c r="F117" s="2"/>
      <c r="G117" s="2"/>
      <c r="I117" s="2"/>
    </row>
    <row r="118" spans="1:9" x14ac:dyDescent="0.25">
      <c r="A118" s="2"/>
      <c r="B118" s="2"/>
      <c r="C118" s="2"/>
      <c r="D118" s="2"/>
      <c r="E118" s="2"/>
      <c r="F118" s="2"/>
      <c r="G118" s="2"/>
      <c r="I118" s="2"/>
    </row>
    <row r="119" spans="1:9" x14ac:dyDescent="0.25">
      <c r="A119" s="2"/>
      <c r="B119" s="2"/>
      <c r="C119" s="2"/>
      <c r="D119" s="2"/>
      <c r="E119" s="2"/>
      <c r="F119" s="2"/>
      <c r="G119" s="2"/>
      <c r="I119" s="2"/>
    </row>
    <row r="120" spans="1:9" x14ac:dyDescent="0.25">
      <c r="A120" s="2"/>
      <c r="B120" s="2"/>
      <c r="C120" s="2"/>
      <c r="D120" s="2"/>
      <c r="E120" s="2"/>
      <c r="F120" s="2"/>
      <c r="G120" s="2"/>
      <c r="I120" s="2"/>
    </row>
    <row r="121" spans="1:9" x14ac:dyDescent="0.25">
      <c r="A121" s="2"/>
      <c r="B121" s="2"/>
      <c r="C121" s="2"/>
      <c r="D121" s="2"/>
      <c r="E121" s="2"/>
      <c r="F121" s="2"/>
      <c r="G121" s="2"/>
      <c r="I121" s="2"/>
    </row>
    <row r="122" spans="1:9" x14ac:dyDescent="0.25">
      <c r="A122" s="2"/>
      <c r="B122" s="2"/>
      <c r="C122" s="2"/>
      <c r="D122" s="2"/>
      <c r="E122" s="2"/>
      <c r="F122" s="2"/>
      <c r="G122" s="2"/>
      <c r="I122" s="2"/>
    </row>
    <row r="123" spans="1:9" x14ac:dyDescent="0.25">
      <c r="A123" s="2"/>
      <c r="B123" s="2"/>
      <c r="C123" s="2"/>
      <c r="D123" s="2"/>
      <c r="E123" s="2"/>
      <c r="F123" s="2"/>
      <c r="G123" s="2"/>
      <c r="I123" s="2"/>
    </row>
    <row r="124" spans="1:9" x14ac:dyDescent="0.25">
      <c r="A124" s="2"/>
      <c r="B124" s="2"/>
      <c r="C124" s="2"/>
      <c r="D124" s="2"/>
      <c r="E124" s="2"/>
      <c r="F124" s="2"/>
      <c r="G124" s="2"/>
      <c r="I124" s="2"/>
    </row>
    <row r="125" spans="1:9" x14ac:dyDescent="0.25">
      <c r="A125" s="2"/>
      <c r="B125" s="2"/>
      <c r="C125" s="2"/>
      <c r="D125" s="2"/>
      <c r="E125" s="2"/>
      <c r="F125" s="2"/>
      <c r="G125" s="2"/>
      <c r="I125" s="2"/>
    </row>
    <row r="126" spans="1:9" x14ac:dyDescent="0.25">
      <c r="A126" s="2"/>
      <c r="B126" s="2"/>
      <c r="C126" s="2"/>
      <c r="D126" s="2"/>
      <c r="E126" s="2"/>
      <c r="F126" s="2"/>
      <c r="G126" s="2"/>
      <c r="I126" s="2"/>
    </row>
    <row r="127" spans="1:9" x14ac:dyDescent="0.25">
      <c r="A127" s="2"/>
      <c r="B127" s="2"/>
      <c r="C127" s="2"/>
      <c r="D127" s="2"/>
      <c r="E127" s="2"/>
      <c r="F127" s="2"/>
      <c r="G127" s="2"/>
      <c r="I127" s="2"/>
    </row>
    <row r="128" spans="1:9" x14ac:dyDescent="0.25">
      <c r="A128" s="2"/>
      <c r="B128" s="2"/>
      <c r="C128" s="2"/>
      <c r="D128" s="2"/>
      <c r="E128" s="2"/>
      <c r="F128" s="2"/>
      <c r="G128" s="2"/>
      <c r="I128" s="2"/>
    </row>
    <row r="129" spans="1:9" x14ac:dyDescent="0.25">
      <c r="A129" s="2"/>
      <c r="B129" s="2"/>
      <c r="C129" s="2"/>
      <c r="D129" s="2"/>
      <c r="E129" s="2"/>
      <c r="F129" s="2"/>
      <c r="G129" s="2"/>
      <c r="I129" s="2"/>
    </row>
    <row r="130" spans="1:9" x14ac:dyDescent="0.25">
      <c r="A130" s="2"/>
      <c r="B130" s="2"/>
      <c r="C130" s="2"/>
      <c r="D130" s="2"/>
      <c r="E130" s="2"/>
      <c r="F130" s="2"/>
      <c r="G130" s="2"/>
      <c r="I130" s="2"/>
    </row>
    <row r="131" spans="1:9" x14ac:dyDescent="0.25">
      <c r="A131" s="2"/>
      <c r="B131" s="2"/>
      <c r="C131" s="2"/>
      <c r="D131" s="2"/>
      <c r="E131" s="2"/>
      <c r="F131" s="2"/>
      <c r="G131" s="2"/>
      <c r="I131" s="2"/>
    </row>
    <row r="132" spans="1:9" x14ac:dyDescent="0.25">
      <c r="A132" s="2"/>
      <c r="B132" s="2"/>
      <c r="C132" s="2"/>
      <c r="D132" s="2"/>
      <c r="E132" s="2"/>
      <c r="F132" s="2"/>
      <c r="G132" s="2"/>
      <c r="I132" s="2"/>
    </row>
  </sheetData>
  <mergeCells count="7">
    <mergeCell ref="A98:F99"/>
    <mergeCell ref="A1:O1"/>
    <mergeCell ref="A3:O3"/>
    <mergeCell ref="A11:O11"/>
    <mergeCell ref="A32:O32"/>
    <mergeCell ref="A44:O44"/>
    <mergeCell ref="A45:F45"/>
  </mergeCells>
  <dataValidations count="7">
    <dataValidation type="list" allowBlank="1" showInputMessage="1" showErrorMessage="1" sqref="E37 C36:D43" xr:uid="{00000000-0002-0000-1C00-000000000000}">
      <formula1>#REF!</formula1>
    </dataValidation>
    <dataValidation type="list" allowBlank="1" showInputMessage="1" showErrorMessage="1" sqref="C5:D10 C14:D17 C34:D34 C21:D28" xr:uid="{00000000-0002-0000-1C00-000001000000}">
      <formula1>$A$107:$A$119</formula1>
    </dataValidation>
    <dataValidation type="list" allowBlank="1" showInputMessage="1" showErrorMessage="1" sqref="F5:F10 F21:F28 F34 F14:F17" xr:uid="{00000000-0002-0000-1C00-000002000000}">
      <formula1>$E$107:$E$121</formula1>
    </dataValidation>
    <dataValidation type="list" allowBlank="1" showInputMessage="1" showErrorMessage="1" sqref="E5:E10 E21:E28 E34 E14:E17" xr:uid="{00000000-0002-0000-1C00-000003000000}">
      <formula1>$F$107:$F$121</formula1>
    </dataValidation>
    <dataValidation type="list" allowBlank="1" showInputMessage="1" showErrorMessage="1" sqref="B5:B10 B21:B28 B14:B17 B34" xr:uid="{00000000-0002-0000-1C00-000004000000}">
      <formula1>$B$107:$B$111</formula1>
    </dataValidation>
    <dataValidation type="list" allowBlank="1" showInputMessage="1" showErrorMessage="1" sqref="A5:A10 A34 A14:A17 A21:A28" xr:uid="{00000000-0002-0000-1C00-000005000000}">
      <formula1>$D$107:$D$109</formula1>
    </dataValidation>
    <dataValidation type="list" allowBlank="1" showInputMessage="1" showErrorMessage="1" sqref="G5:G10 G14:G17 G34 G21:G28" xr:uid="{00000000-0002-0000-1C00-000006000000}">
      <formula1>$C$107:$C$115</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4:H12"/>
  <sheetViews>
    <sheetView workbookViewId="0">
      <selection activeCell="H12" sqref="H12"/>
    </sheetView>
  </sheetViews>
  <sheetFormatPr defaultColWidth="8.77734375" defaultRowHeight="13.2" x14ac:dyDescent="0.25"/>
  <cols>
    <col min="1" max="1" width="23.109375" customWidth="1"/>
    <col min="3" max="3" width="10.6640625" bestFit="1" customWidth="1"/>
    <col min="7" max="7" width="10.6640625" bestFit="1" customWidth="1"/>
  </cols>
  <sheetData>
    <row r="4" spans="1:8" ht="15" thickBot="1" x14ac:dyDescent="0.3">
      <c r="A4" s="768" t="s">
        <v>554</v>
      </c>
      <c r="B4" s="768" t="s">
        <v>115</v>
      </c>
      <c r="C4" s="768" t="s">
        <v>555</v>
      </c>
      <c r="D4" s="768" t="s">
        <v>556</v>
      </c>
      <c r="E4" s="768"/>
      <c r="F4" s="768" t="s">
        <v>116</v>
      </c>
      <c r="G4" s="768" t="s">
        <v>555</v>
      </c>
      <c r="H4" s="768" t="s">
        <v>556</v>
      </c>
    </row>
    <row r="5" spans="1:8" ht="14.4" x14ac:dyDescent="0.25">
      <c r="A5" s="769" t="s">
        <v>557</v>
      </c>
      <c r="B5" s="769" t="s">
        <v>41</v>
      </c>
      <c r="C5" s="770">
        <v>44413</v>
      </c>
      <c r="D5" s="769" t="s">
        <v>558</v>
      </c>
      <c r="E5" s="771"/>
      <c r="F5" s="769" t="s">
        <v>39</v>
      </c>
      <c r="G5" s="770">
        <v>44337</v>
      </c>
      <c r="H5" s="769" t="s">
        <v>558</v>
      </c>
    </row>
    <row r="6" spans="1:8" ht="14.4" x14ac:dyDescent="0.25">
      <c r="A6" s="769" t="s">
        <v>559</v>
      </c>
      <c r="B6" s="769" t="s">
        <v>41</v>
      </c>
      <c r="C6" s="770">
        <v>44413</v>
      </c>
      <c r="D6" s="769" t="s">
        <v>558</v>
      </c>
      <c r="E6" s="771"/>
      <c r="F6" s="769" t="s">
        <v>39</v>
      </c>
      <c r="G6" s="770">
        <v>44337</v>
      </c>
      <c r="H6" s="769" t="s">
        <v>558</v>
      </c>
    </row>
    <row r="7" spans="1:8" ht="14.4" x14ac:dyDescent="0.25">
      <c r="A7" s="769" t="s">
        <v>560</v>
      </c>
      <c r="B7" s="769" t="s">
        <v>42</v>
      </c>
      <c r="C7" s="770">
        <v>44413</v>
      </c>
      <c r="D7" s="769" t="s">
        <v>558</v>
      </c>
      <c r="E7" s="771"/>
      <c r="F7" s="769" t="s">
        <v>39</v>
      </c>
      <c r="G7" s="770">
        <v>44337</v>
      </c>
      <c r="H7" s="769" t="s">
        <v>558</v>
      </c>
    </row>
    <row r="8" spans="1:8" ht="14.4" x14ac:dyDescent="0.25">
      <c r="A8" s="769" t="s">
        <v>561</v>
      </c>
      <c r="B8" s="769" t="s">
        <v>44</v>
      </c>
      <c r="C8" s="770">
        <v>44413</v>
      </c>
      <c r="D8" s="769" t="s">
        <v>558</v>
      </c>
      <c r="E8" s="771"/>
      <c r="F8" s="769" t="s">
        <v>120</v>
      </c>
      <c r="G8" s="770">
        <v>44034</v>
      </c>
      <c r="H8" s="769" t="s">
        <v>558</v>
      </c>
    </row>
    <row r="9" spans="1:8" ht="14.4" x14ac:dyDescent="0.25">
      <c r="A9" s="769" t="s">
        <v>562</v>
      </c>
      <c r="B9" s="769" t="s">
        <v>41</v>
      </c>
      <c r="C9" s="770">
        <v>44413</v>
      </c>
      <c r="D9" s="769" t="s">
        <v>558</v>
      </c>
      <c r="E9" s="771"/>
      <c r="F9" s="771"/>
      <c r="G9" s="771"/>
      <c r="H9" s="771"/>
    </row>
    <row r="10" spans="1:8" x14ac:dyDescent="0.25">
      <c r="A10" s="771"/>
      <c r="B10" s="771"/>
      <c r="C10" s="771"/>
      <c r="D10" s="771"/>
      <c r="E10" s="771"/>
      <c r="F10" s="771"/>
      <c r="G10" s="771"/>
      <c r="H10" s="771"/>
    </row>
    <row r="11" spans="1:8" ht="14.4" x14ac:dyDescent="0.25">
      <c r="A11" s="769" t="s">
        <v>563</v>
      </c>
      <c r="B11" s="769" t="s">
        <v>45</v>
      </c>
      <c r="C11" s="770">
        <v>44376</v>
      </c>
      <c r="D11" s="769" t="s">
        <v>558</v>
      </c>
      <c r="E11" s="771"/>
      <c r="F11" s="769" t="s">
        <v>33</v>
      </c>
      <c r="G11" s="770">
        <v>44518</v>
      </c>
      <c r="H11" s="769" t="s">
        <v>616</v>
      </c>
    </row>
    <row r="12" spans="1:8" ht="14.4" x14ac:dyDescent="0.25">
      <c r="A12" s="767"/>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9">
    <tabColor rgb="FFFF0000"/>
  </sheetPr>
  <dimension ref="A1:EA135"/>
  <sheetViews>
    <sheetView topLeftCell="D5" zoomScale="60" zoomScaleNormal="60" workbookViewId="0">
      <selection activeCell="K6" sqref="K6"/>
    </sheetView>
  </sheetViews>
  <sheetFormatPr defaultColWidth="8.77734375" defaultRowHeight="13.2" x14ac:dyDescent="0.25"/>
  <cols>
    <col min="1" max="7" width="26.44140625" customWidth="1"/>
    <col min="8" max="8" width="26.44140625" style="3" customWidth="1"/>
    <col min="9" max="12" width="26.44140625" customWidth="1"/>
    <col min="13" max="13" width="26.44140625" style="472" customWidth="1"/>
    <col min="14" max="15" width="26.44140625" customWidth="1"/>
  </cols>
  <sheetData>
    <row r="1" spans="1:131" ht="18" thickBot="1" x14ac:dyDescent="0.3">
      <c r="A1" s="900" t="s">
        <v>310</v>
      </c>
      <c r="B1" s="900"/>
      <c r="C1" s="900"/>
      <c r="D1" s="900"/>
      <c r="E1" s="900"/>
      <c r="F1" s="900"/>
      <c r="G1" s="900"/>
      <c r="H1" s="900"/>
      <c r="I1" s="900"/>
      <c r="J1" s="900"/>
      <c r="K1" s="900"/>
      <c r="L1" s="900"/>
      <c r="M1" s="900"/>
      <c r="N1" s="900"/>
      <c r="O1" s="900"/>
    </row>
    <row r="2" spans="1:131" ht="17.399999999999999" x14ac:dyDescent="0.25">
      <c r="A2" s="440" t="s">
        <v>188</v>
      </c>
      <c r="B2" s="175"/>
      <c r="C2" s="440"/>
      <c r="D2" s="440"/>
      <c r="E2" s="440"/>
      <c r="F2" s="440"/>
      <c r="G2" s="440"/>
      <c r="H2" s="381"/>
      <c r="I2" s="440"/>
      <c r="J2" s="399"/>
      <c r="K2" s="399"/>
      <c r="L2" s="399"/>
      <c r="M2" s="460"/>
      <c r="N2" s="399"/>
      <c r="O2" s="399"/>
    </row>
    <row r="3" spans="1:131" ht="15" x14ac:dyDescent="0.25">
      <c r="A3" s="901" t="s">
        <v>204</v>
      </c>
      <c r="B3" s="902"/>
      <c r="C3" s="902"/>
      <c r="D3" s="902"/>
      <c r="E3" s="902"/>
      <c r="F3" s="902"/>
      <c r="G3" s="902"/>
      <c r="H3" s="902"/>
      <c r="I3" s="902"/>
      <c r="J3" s="902"/>
      <c r="K3" s="902"/>
      <c r="L3" s="902"/>
      <c r="M3" s="902"/>
      <c r="N3" s="902"/>
      <c r="O3" s="903"/>
    </row>
    <row r="4" spans="1:131" ht="60" x14ac:dyDescent="0.25">
      <c r="A4" s="176" t="s">
        <v>89</v>
      </c>
      <c r="B4" s="176" t="s">
        <v>90</v>
      </c>
      <c r="C4" s="177" t="s">
        <v>0</v>
      </c>
      <c r="D4" s="177" t="s">
        <v>124</v>
      </c>
      <c r="E4" s="176" t="s">
        <v>143</v>
      </c>
      <c r="F4" s="176" t="s">
        <v>144</v>
      </c>
      <c r="G4" s="176" t="s">
        <v>13</v>
      </c>
      <c r="H4" s="382" t="s">
        <v>88</v>
      </c>
      <c r="I4" s="176" t="s">
        <v>12</v>
      </c>
      <c r="J4" s="400" t="s">
        <v>158</v>
      </c>
      <c r="K4" s="400" t="s">
        <v>148</v>
      </c>
      <c r="L4" s="400" t="s">
        <v>180</v>
      </c>
      <c r="M4" s="461" t="s">
        <v>104</v>
      </c>
      <c r="N4" s="400" t="s">
        <v>179</v>
      </c>
      <c r="O4" s="400" t="s">
        <v>205</v>
      </c>
    </row>
    <row r="5" spans="1:131" ht="30" x14ac:dyDescent="0.25">
      <c r="A5" s="322" t="s">
        <v>84</v>
      </c>
      <c r="B5" s="322" t="s">
        <v>3</v>
      </c>
      <c r="C5" s="322" t="s">
        <v>307</v>
      </c>
      <c r="D5" s="322" t="s">
        <v>307</v>
      </c>
      <c r="E5" s="327" t="s">
        <v>120</v>
      </c>
      <c r="F5" s="457" t="s">
        <v>44</v>
      </c>
      <c r="G5" s="322" t="s">
        <v>14</v>
      </c>
      <c r="H5" s="85">
        <v>44423</v>
      </c>
      <c r="I5" s="322" t="s">
        <v>23</v>
      </c>
      <c r="J5" s="350">
        <v>143.66999999999999</v>
      </c>
      <c r="K5" s="350">
        <f>'Aug12'!K5</f>
        <v>118.16</v>
      </c>
      <c r="L5" s="350">
        <f t="shared" ref="L5:L8" si="0">N5-M5</f>
        <v>18.894220829999998</v>
      </c>
      <c r="M5" s="462">
        <f t="shared" ref="M5:N8" si="1">-DZ5/1000000</f>
        <v>0.50958344</v>
      </c>
      <c r="N5" s="350">
        <f t="shared" si="1"/>
        <v>19.403804269999998</v>
      </c>
      <c r="O5" s="88"/>
      <c r="DZ5">
        <v>-509583.44</v>
      </c>
      <c r="EA5">
        <v>-19403804.27</v>
      </c>
    </row>
    <row r="6" spans="1:131" ht="30" x14ac:dyDescent="0.25">
      <c r="A6" s="328" t="s">
        <v>84</v>
      </c>
      <c r="B6" s="328" t="s">
        <v>3</v>
      </c>
      <c r="C6" s="328" t="s">
        <v>307</v>
      </c>
      <c r="D6" s="328" t="s">
        <v>307</v>
      </c>
      <c r="E6" s="329" t="s">
        <v>120</v>
      </c>
      <c r="F6" s="458" t="s">
        <v>44</v>
      </c>
      <c r="G6" s="328" t="s">
        <v>14</v>
      </c>
      <c r="H6" s="93">
        <v>44576</v>
      </c>
      <c r="I6" s="328" t="s">
        <v>24</v>
      </c>
      <c r="J6" s="351">
        <v>27.4</v>
      </c>
      <c r="K6" s="351">
        <f>'Aug12'!K6</f>
        <v>26.9575</v>
      </c>
      <c r="L6" s="351">
        <f t="shared" si="0"/>
        <v>4.8661399699999999</v>
      </c>
      <c r="M6" s="463">
        <f t="shared" si="1"/>
        <v>6.7798780000000003E-2</v>
      </c>
      <c r="N6" s="351">
        <f t="shared" si="1"/>
        <v>4.9339387500000003</v>
      </c>
      <c r="O6" s="96"/>
      <c r="DZ6">
        <v>-67798.78</v>
      </c>
      <c r="EA6">
        <v>-4933938.75</v>
      </c>
    </row>
    <row r="7" spans="1:131" ht="30" x14ac:dyDescent="0.25">
      <c r="A7" s="322" t="s">
        <v>84</v>
      </c>
      <c r="B7" s="322" t="s">
        <v>3</v>
      </c>
      <c r="C7" s="322" t="s">
        <v>308</v>
      </c>
      <c r="D7" s="322" t="s">
        <v>308</v>
      </c>
      <c r="E7" s="327" t="s">
        <v>39</v>
      </c>
      <c r="F7" s="457" t="s">
        <v>38</v>
      </c>
      <c r="G7" s="322" t="s">
        <v>14</v>
      </c>
      <c r="H7" s="85">
        <v>44576</v>
      </c>
      <c r="I7" s="322" t="s">
        <v>24</v>
      </c>
      <c r="J7" s="350">
        <v>26.85</v>
      </c>
      <c r="K7" s="350">
        <f>'Aug12'!K7</f>
        <v>26.47</v>
      </c>
      <c r="L7" s="350">
        <f t="shared" si="0"/>
        <v>4.7709507900000006</v>
      </c>
      <c r="M7" s="462">
        <f t="shared" si="1"/>
        <v>6.6578990000000005E-2</v>
      </c>
      <c r="N7" s="350">
        <f t="shared" si="1"/>
        <v>4.8375297800000006</v>
      </c>
      <c r="O7" s="88"/>
      <c r="DZ7">
        <v>-66578.990000000005</v>
      </c>
      <c r="EA7">
        <v>-4837529.78</v>
      </c>
    </row>
    <row r="8" spans="1:131" ht="30" x14ac:dyDescent="0.25">
      <c r="A8" s="328" t="s">
        <v>84</v>
      </c>
      <c r="B8" s="328" t="s">
        <v>3</v>
      </c>
      <c r="C8" s="328" t="s">
        <v>309</v>
      </c>
      <c r="D8" s="328" t="s">
        <v>125</v>
      </c>
      <c r="E8" s="329" t="s">
        <v>39</v>
      </c>
      <c r="F8" s="458" t="s">
        <v>42</v>
      </c>
      <c r="G8" s="328" t="s">
        <v>14</v>
      </c>
      <c r="H8" s="93">
        <v>46296</v>
      </c>
      <c r="I8" s="328" t="s">
        <v>25</v>
      </c>
      <c r="J8" s="351">
        <v>40.880000000000003</v>
      </c>
      <c r="K8" s="351">
        <f>'Aug12'!K8</f>
        <v>39.75</v>
      </c>
      <c r="L8" s="351">
        <f t="shared" si="0"/>
        <v>7.1482237600000005</v>
      </c>
      <c r="M8" s="463">
        <f t="shared" si="1"/>
        <v>6.354746E-2</v>
      </c>
      <c r="N8" s="351">
        <f t="shared" si="1"/>
        <v>7.2117712200000001</v>
      </c>
      <c r="O8" s="96"/>
      <c r="DZ8">
        <v>-63547.46</v>
      </c>
      <c r="EA8">
        <v>-7211771.2199999997</v>
      </c>
    </row>
    <row r="9" spans="1:131" ht="15" x14ac:dyDescent="0.25">
      <c r="A9" s="111"/>
      <c r="B9" s="111"/>
      <c r="C9" s="111"/>
      <c r="D9" s="111"/>
      <c r="E9" s="123"/>
      <c r="F9" s="111"/>
      <c r="G9" s="111"/>
      <c r="H9" s="114"/>
      <c r="I9" s="111"/>
      <c r="J9" s="352"/>
      <c r="K9" s="352"/>
      <c r="L9" s="352"/>
      <c r="M9" s="464"/>
      <c r="N9" s="353"/>
      <c r="O9" s="353"/>
    </row>
    <row r="10" spans="1:131" ht="15" x14ac:dyDescent="0.25">
      <c r="A10" s="328"/>
      <c r="B10" s="328"/>
      <c r="C10" s="328"/>
      <c r="D10" s="328"/>
      <c r="E10" s="329"/>
      <c r="F10" s="328"/>
      <c r="G10" s="328"/>
      <c r="H10" s="93"/>
      <c r="I10" s="328"/>
      <c r="J10" s="351"/>
      <c r="K10" s="351"/>
      <c r="L10" s="351"/>
      <c r="M10" s="463"/>
      <c r="N10" s="96"/>
      <c r="O10" s="96"/>
    </row>
    <row r="11" spans="1:131" ht="15" x14ac:dyDescent="0.25">
      <c r="A11" s="901" t="s">
        <v>203</v>
      </c>
      <c r="B11" s="902"/>
      <c r="C11" s="902"/>
      <c r="D11" s="902"/>
      <c r="E11" s="902"/>
      <c r="F11" s="902"/>
      <c r="G11" s="902"/>
      <c r="H11" s="902"/>
      <c r="I11" s="902"/>
      <c r="J11" s="902"/>
      <c r="K11" s="902"/>
      <c r="L11" s="902"/>
      <c r="M11" s="902"/>
      <c r="N11" s="902"/>
      <c r="O11" s="903"/>
    </row>
    <row r="12" spans="1:131" ht="60" x14ac:dyDescent="0.25">
      <c r="A12" s="176" t="s">
        <v>89</v>
      </c>
      <c r="B12" s="176" t="s">
        <v>90</v>
      </c>
      <c r="C12" s="177" t="s">
        <v>0</v>
      </c>
      <c r="D12" s="180" t="s">
        <v>124</v>
      </c>
      <c r="E12" s="176" t="s">
        <v>143</v>
      </c>
      <c r="F12" s="176" t="s">
        <v>144</v>
      </c>
      <c r="G12" s="176" t="s">
        <v>13</v>
      </c>
      <c r="H12" s="382" t="s">
        <v>88</v>
      </c>
      <c r="I12" s="176" t="s">
        <v>12</v>
      </c>
      <c r="J12" s="400" t="s">
        <v>150</v>
      </c>
      <c r="K12" s="400" t="s">
        <v>151</v>
      </c>
      <c r="L12" s="400" t="s">
        <v>157</v>
      </c>
      <c r="M12" s="461" t="s">
        <v>149</v>
      </c>
      <c r="N12" s="400" t="s">
        <v>179</v>
      </c>
      <c r="O12" s="400" t="s">
        <v>205</v>
      </c>
    </row>
    <row r="13" spans="1:131" ht="15" x14ac:dyDescent="0.25">
      <c r="A13" s="184" t="s">
        <v>197</v>
      </c>
      <c r="B13" s="184"/>
      <c r="C13" s="185"/>
      <c r="D13" s="185"/>
      <c r="E13" s="184"/>
      <c r="F13" s="184"/>
      <c r="G13" s="184"/>
      <c r="H13" s="383"/>
      <c r="I13" s="184"/>
      <c r="J13" s="403"/>
      <c r="K13" s="403"/>
      <c r="L13" s="403"/>
      <c r="M13" s="465"/>
      <c r="N13" s="403"/>
      <c r="O13" s="404"/>
    </row>
    <row r="14" spans="1:131" ht="30" x14ac:dyDescent="0.25">
      <c r="A14" s="328" t="s">
        <v>84</v>
      </c>
      <c r="B14" s="328" t="s">
        <v>7</v>
      </c>
      <c r="C14" s="328" t="s">
        <v>239</v>
      </c>
      <c r="D14" s="328" t="s">
        <v>238</v>
      </c>
      <c r="E14" s="329" t="s">
        <v>32</v>
      </c>
      <c r="F14" s="328" t="s">
        <v>118</v>
      </c>
      <c r="G14" s="328" t="s">
        <v>22</v>
      </c>
      <c r="H14" s="93">
        <v>41090</v>
      </c>
      <c r="I14" s="328" t="s">
        <v>176</v>
      </c>
      <c r="J14" s="96">
        <v>0</v>
      </c>
      <c r="K14" s="96" t="s">
        <v>10</v>
      </c>
      <c r="L14" s="96">
        <v>0</v>
      </c>
      <c r="M14" s="466"/>
      <c r="N14" s="96"/>
      <c r="O14" s="96"/>
    </row>
    <row r="15" spans="1:131" ht="30" x14ac:dyDescent="0.25">
      <c r="A15" s="322" t="s">
        <v>8</v>
      </c>
      <c r="B15" s="322" t="s">
        <v>7</v>
      </c>
      <c r="C15" s="322" t="s">
        <v>239</v>
      </c>
      <c r="D15" s="322" t="s">
        <v>238</v>
      </c>
      <c r="E15" s="327" t="s">
        <v>32</v>
      </c>
      <c r="F15" s="327" t="s">
        <v>118</v>
      </c>
      <c r="G15" s="322" t="s">
        <v>22</v>
      </c>
      <c r="H15" s="85">
        <v>41455</v>
      </c>
      <c r="I15" s="322" t="s">
        <v>131</v>
      </c>
      <c r="J15" s="88">
        <v>26.61</v>
      </c>
      <c r="K15" s="88">
        <v>-4.8099999999999996</v>
      </c>
      <c r="L15" s="88">
        <v>21.8</v>
      </c>
      <c r="M15" s="467"/>
      <c r="N15" s="88"/>
      <c r="O15" s="88"/>
    </row>
    <row r="16" spans="1:131" ht="30" x14ac:dyDescent="0.25">
      <c r="A16" s="328" t="s">
        <v>8</v>
      </c>
      <c r="B16" s="328" t="s">
        <v>193</v>
      </c>
      <c r="C16" s="328" t="s">
        <v>239</v>
      </c>
      <c r="D16" s="328" t="s">
        <v>238</v>
      </c>
      <c r="E16" s="328" t="s">
        <v>32</v>
      </c>
      <c r="F16" s="328" t="s">
        <v>118</v>
      </c>
      <c r="G16" s="328" t="s">
        <v>22</v>
      </c>
      <c r="H16" s="385">
        <v>41820</v>
      </c>
      <c r="I16" s="328" t="s">
        <v>132</v>
      </c>
      <c r="J16" s="379">
        <v>17.18</v>
      </c>
      <c r="K16" s="379"/>
      <c r="L16" s="379">
        <v>17.18</v>
      </c>
      <c r="M16" s="468"/>
      <c r="N16" s="379"/>
      <c r="O16" s="379"/>
    </row>
    <row r="17" spans="1:15" ht="30" x14ac:dyDescent="0.25">
      <c r="A17" s="322" t="s">
        <v>8</v>
      </c>
      <c r="B17" s="322" t="s">
        <v>193</v>
      </c>
      <c r="C17" s="322" t="s">
        <v>239</v>
      </c>
      <c r="D17" s="322" t="s">
        <v>238</v>
      </c>
      <c r="E17" s="322" t="s">
        <v>32</v>
      </c>
      <c r="F17" s="322" t="s">
        <v>118</v>
      </c>
      <c r="G17" s="322" t="s">
        <v>22</v>
      </c>
      <c r="H17" s="386">
        <v>42185</v>
      </c>
      <c r="I17" s="322" t="s">
        <v>133</v>
      </c>
      <c r="J17" s="380">
        <v>12.47</v>
      </c>
      <c r="K17" s="380"/>
      <c r="L17" s="380">
        <v>12.47</v>
      </c>
      <c r="M17" s="469"/>
      <c r="N17" s="380"/>
      <c r="O17" s="380"/>
    </row>
    <row r="18" spans="1:15" ht="30" x14ac:dyDescent="0.25">
      <c r="A18" s="328" t="s">
        <v>8</v>
      </c>
      <c r="B18" s="328" t="s">
        <v>193</v>
      </c>
      <c r="C18" s="328" t="s">
        <v>239</v>
      </c>
      <c r="D18" s="328" t="s">
        <v>238</v>
      </c>
      <c r="E18" s="328" t="s">
        <v>32</v>
      </c>
      <c r="F18" s="328" t="s">
        <v>118</v>
      </c>
      <c r="G18" s="328" t="s">
        <v>22</v>
      </c>
      <c r="H18" s="385">
        <v>42551</v>
      </c>
      <c r="I18" s="328" t="s">
        <v>300</v>
      </c>
      <c r="J18" s="379">
        <v>0.1</v>
      </c>
      <c r="K18" s="379"/>
      <c r="L18" s="379">
        <v>0.1</v>
      </c>
      <c r="M18" s="468"/>
      <c r="N18" s="379"/>
      <c r="O18" s="379"/>
    </row>
    <row r="19" spans="1:15" ht="15" x14ac:dyDescent="0.25">
      <c r="A19" s="181" t="s">
        <v>295</v>
      </c>
      <c r="B19" s="181"/>
      <c r="C19" s="181"/>
      <c r="D19" s="181"/>
      <c r="E19" s="182"/>
      <c r="F19" s="181"/>
      <c r="G19" s="181"/>
      <c r="H19" s="183" t="s">
        <v>206</v>
      </c>
      <c r="I19" s="181"/>
      <c r="J19" s="354">
        <f>SUM(J14:J18)</f>
        <v>56.36</v>
      </c>
      <c r="K19" s="354">
        <f t="shared" ref="K19:L19" si="2">SUM(K14:K18)</f>
        <v>-4.8099999999999996</v>
      </c>
      <c r="L19" s="354">
        <f t="shared" si="2"/>
        <v>51.550000000000004</v>
      </c>
      <c r="M19" s="470">
        <f>+L19-N19</f>
        <v>43.866977000000006</v>
      </c>
      <c r="N19" s="354">
        <v>7.6830230000000004</v>
      </c>
      <c r="O19" s="354">
        <v>35</v>
      </c>
    </row>
    <row r="20" spans="1:15" ht="15" x14ac:dyDescent="0.25">
      <c r="A20" s="181"/>
      <c r="B20" s="181"/>
      <c r="C20" s="181"/>
      <c r="D20" s="181"/>
      <c r="E20" s="182"/>
      <c r="F20" s="181"/>
      <c r="G20" s="181"/>
      <c r="H20" s="183"/>
      <c r="I20" s="181"/>
      <c r="J20" s="354"/>
      <c r="K20" s="354"/>
      <c r="L20" s="354"/>
      <c r="M20" s="470"/>
      <c r="N20" s="354"/>
      <c r="O20" s="354"/>
    </row>
    <row r="21" spans="1:15" ht="15" x14ac:dyDescent="0.25">
      <c r="A21" s="184" t="s">
        <v>198</v>
      </c>
      <c r="B21" s="184"/>
      <c r="C21" s="185"/>
      <c r="D21" s="185"/>
      <c r="E21" s="184"/>
      <c r="F21" s="184"/>
      <c r="G21" s="184"/>
      <c r="H21" s="383"/>
      <c r="I21" s="184"/>
      <c r="J21" s="459"/>
      <c r="K21" s="459"/>
      <c r="L21" s="459"/>
      <c r="M21" s="465"/>
      <c r="N21" s="459"/>
      <c r="O21" s="186"/>
    </row>
    <row r="22" spans="1:15" ht="30" x14ac:dyDescent="0.25">
      <c r="A22" s="328" t="s">
        <v>8</v>
      </c>
      <c r="B22" s="328" t="s">
        <v>7</v>
      </c>
      <c r="C22" s="328" t="s">
        <v>27</v>
      </c>
      <c r="D22" s="328" t="s">
        <v>127</v>
      </c>
      <c r="E22" s="328" t="s">
        <v>33</v>
      </c>
      <c r="F22" s="328" t="s">
        <v>45</v>
      </c>
      <c r="G22" s="328" t="s">
        <v>22</v>
      </c>
      <c r="H22" s="385">
        <v>41455</v>
      </c>
      <c r="I22" s="328" t="s">
        <v>137</v>
      </c>
      <c r="J22" s="379">
        <v>5.2490547599999999</v>
      </c>
      <c r="K22" s="379">
        <v>-2.3147456000000002</v>
      </c>
      <c r="L22" s="379">
        <v>2.9343091599999997</v>
      </c>
      <c r="M22" s="468"/>
      <c r="N22" s="379"/>
      <c r="O22" s="379"/>
    </row>
    <row r="23" spans="1:15" ht="30" x14ac:dyDescent="0.25">
      <c r="A23" s="322" t="s">
        <v>84</v>
      </c>
      <c r="B23" s="322" t="s">
        <v>7</v>
      </c>
      <c r="C23" s="322" t="s">
        <v>92</v>
      </c>
      <c r="D23" s="322" t="s">
        <v>128</v>
      </c>
      <c r="E23" s="322" t="s">
        <v>33</v>
      </c>
      <c r="F23" s="322" t="s">
        <v>45</v>
      </c>
      <c r="G23" s="322" t="s">
        <v>22</v>
      </c>
      <c r="H23" s="386">
        <v>41455</v>
      </c>
      <c r="I23" s="322" t="s">
        <v>137</v>
      </c>
      <c r="J23" s="380">
        <v>2.6344919999999997E-2</v>
      </c>
      <c r="K23" s="380">
        <v>-1.1789959999999999E-2</v>
      </c>
      <c r="L23" s="380">
        <v>1.4554959999999999E-2</v>
      </c>
      <c r="M23" s="469"/>
      <c r="N23" s="380"/>
      <c r="O23" s="380"/>
    </row>
    <row r="24" spans="1:15" ht="30" x14ac:dyDescent="0.25">
      <c r="A24" s="328" t="s">
        <v>84</v>
      </c>
      <c r="B24" s="328" t="s">
        <v>7</v>
      </c>
      <c r="C24" s="328" t="s">
        <v>27</v>
      </c>
      <c r="D24" s="328" t="s">
        <v>127</v>
      </c>
      <c r="E24" s="328" t="s">
        <v>33</v>
      </c>
      <c r="F24" s="328" t="s">
        <v>45</v>
      </c>
      <c r="G24" s="328" t="s">
        <v>22</v>
      </c>
      <c r="H24" s="385">
        <v>41820</v>
      </c>
      <c r="I24" s="328" t="s">
        <v>138</v>
      </c>
      <c r="J24" s="379">
        <v>0.92112859999999996</v>
      </c>
      <c r="K24" s="379">
        <v>0</v>
      </c>
      <c r="L24" s="379">
        <v>0.92112859999999996</v>
      </c>
      <c r="M24" s="468"/>
      <c r="N24" s="379"/>
      <c r="O24" s="379"/>
    </row>
    <row r="25" spans="1:15" ht="30" x14ac:dyDescent="0.25">
      <c r="A25" s="322" t="s">
        <v>8</v>
      </c>
      <c r="B25" s="322" t="s">
        <v>7</v>
      </c>
      <c r="C25" s="322" t="s">
        <v>92</v>
      </c>
      <c r="D25" s="322" t="s">
        <v>128</v>
      </c>
      <c r="E25" s="322" t="s">
        <v>33</v>
      </c>
      <c r="F25" s="322" t="s">
        <v>45</v>
      </c>
      <c r="G25" s="322" t="s">
        <v>22</v>
      </c>
      <c r="H25" s="386">
        <v>41820</v>
      </c>
      <c r="I25" s="322" t="s">
        <v>138</v>
      </c>
      <c r="J25" s="380">
        <v>0.22077552</v>
      </c>
      <c r="K25" s="380">
        <v>0</v>
      </c>
      <c r="L25" s="380">
        <v>0.22077552</v>
      </c>
      <c r="M25" s="469"/>
      <c r="N25" s="380"/>
      <c r="O25" s="380"/>
    </row>
    <row r="26" spans="1:15" ht="30" x14ac:dyDescent="0.25">
      <c r="A26" s="328" t="s">
        <v>8</v>
      </c>
      <c r="B26" s="328" t="s">
        <v>7</v>
      </c>
      <c r="C26" s="328" t="s">
        <v>27</v>
      </c>
      <c r="D26" s="328" t="s">
        <v>127</v>
      </c>
      <c r="E26" s="328" t="s">
        <v>33</v>
      </c>
      <c r="F26" s="328" t="s">
        <v>45</v>
      </c>
      <c r="G26" s="328" t="s">
        <v>22</v>
      </c>
      <c r="H26" s="385">
        <v>42185</v>
      </c>
      <c r="I26" s="328" t="s">
        <v>139</v>
      </c>
      <c r="J26" s="379">
        <v>0</v>
      </c>
      <c r="K26" s="379">
        <v>0</v>
      </c>
      <c r="L26" s="379">
        <v>0</v>
      </c>
      <c r="M26" s="468"/>
      <c r="N26" s="379"/>
      <c r="O26" s="379"/>
    </row>
    <row r="27" spans="1:15" ht="30" x14ac:dyDescent="0.25">
      <c r="A27" s="322" t="s">
        <v>8</v>
      </c>
      <c r="B27" s="322" t="s">
        <v>7</v>
      </c>
      <c r="C27" s="322" t="s">
        <v>92</v>
      </c>
      <c r="D27" s="322" t="s">
        <v>128</v>
      </c>
      <c r="E27" s="322" t="s">
        <v>33</v>
      </c>
      <c r="F27" s="322" t="s">
        <v>45</v>
      </c>
      <c r="G27" s="322" t="s">
        <v>22</v>
      </c>
      <c r="H27" s="386">
        <v>42185</v>
      </c>
      <c r="I27" s="322" t="s">
        <v>139</v>
      </c>
      <c r="J27" s="380">
        <v>0</v>
      </c>
      <c r="K27" s="380">
        <v>0</v>
      </c>
      <c r="L27" s="380">
        <v>0</v>
      </c>
      <c r="M27" s="469"/>
      <c r="N27" s="380"/>
      <c r="O27" s="380"/>
    </row>
    <row r="28" spans="1:15" ht="30" x14ac:dyDescent="0.25">
      <c r="A28" s="328" t="s">
        <v>8</v>
      </c>
      <c r="B28" s="328" t="s">
        <v>7</v>
      </c>
      <c r="C28" s="328" t="s">
        <v>27</v>
      </c>
      <c r="D28" s="328" t="s">
        <v>127</v>
      </c>
      <c r="E28" s="328" t="s">
        <v>33</v>
      </c>
      <c r="F28" s="328" t="s">
        <v>45</v>
      </c>
      <c r="G28" s="328" t="s">
        <v>22</v>
      </c>
      <c r="H28" s="385">
        <v>42551</v>
      </c>
      <c r="I28" s="328" t="s">
        <v>301</v>
      </c>
      <c r="J28" s="379">
        <v>0</v>
      </c>
      <c r="K28" s="379">
        <v>0</v>
      </c>
      <c r="L28" s="379">
        <v>0</v>
      </c>
      <c r="M28" s="468"/>
      <c r="N28" s="379"/>
      <c r="O28" s="379"/>
    </row>
    <row r="29" spans="1:15" ht="30" x14ac:dyDescent="0.25">
      <c r="A29" s="322" t="s">
        <v>8</v>
      </c>
      <c r="B29" s="322" t="s">
        <v>7</v>
      </c>
      <c r="C29" s="322" t="s">
        <v>92</v>
      </c>
      <c r="D29" s="322" t="s">
        <v>128</v>
      </c>
      <c r="E29" s="322" t="s">
        <v>33</v>
      </c>
      <c r="F29" s="322" t="s">
        <v>45</v>
      </c>
      <c r="G29" s="322" t="s">
        <v>22</v>
      </c>
      <c r="H29" s="386">
        <v>42551</v>
      </c>
      <c r="I29" s="322" t="s">
        <v>301</v>
      </c>
      <c r="J29" s="380">
        <v>0</v>
      </c>
      <c r="K29" s="380">
        <v>0</v>
      </c>
      <c r="L29" s="380">
        <v>0</v>
      </c>
      <c r="M29" s="469"/>
      <c r="N29" s="380"/>
      <c r="O29" s="380"/>
    </row>
    <row r="30" spans="1:15" ht="30" x14ac:dyDescent="0.25">
      <c r="A30" s="328" t="s">
        <v>296</v>
      </c>
      <c r="B30" s="328"/>
      <c r="C30" s="328"/>
      <c r="D30" s="328"/>
      <c r="E30" s="328"/>
      <c r="F30" s="328"/>
      <c r="G30" s="328"/>
      <c r="H30" s="385" t="s">
        <v>206</v>
      </c>
      <c r="I30" s="328"/>
      <c r="J30" s="379">
        <v>6.4173038</v>
      </c>
      <c r="K30" s="379">
        <v>-2.3265355600000004</v>
      </c>
      <c r="L30" s="379">
        <v>4.0907682399999992</v>
      </c>
      <c r="M30" s="468">
        <v>3.4630919659999995</v>
      </c>
      <c r="N30" s="379">
        <v>0.62767627399999981</v>
      </c>
      <c r="O30" s="379"/>
    </row>
    <row r="31" spans="1:15" ht="15" x14ac:dyDescent="0.25">
      <c r="A31" s="322"/>
      <c r="B31" s="322"/>
      <c r="C31" s="322"/>
      <c r="D31" s="322"/>
      <c r="E31" s="322"/>
      <c r="F31" s="322"/>
      <c r="G31" s="322"/>
      <c r="H31" s="386"/>
      <c r="I31" s="322"/>
      <c r="J31" s="380"/>
      <c r="K31" s="380"/>
      <c r="L31" s="380"/>
      <c r="M31" s="469"/>
      <c r="N31" s="380"/>
      <c r="O31" s="380"/>
    </row>
    <row r="32" spans="1:15" ht="30" x14ac:dyDescent="0.25">
      <c r="A32" s="181" t="s">
        <v>296</v>
      </c>
      <c r="B32" s="181"/>
      <c r="C32" s="181"/>
      <c r="D32" s="181"/>
      <c r="E32" s="182"/>
      <c r="F32" s="181"/>
      <c r="G32" s="181"/>
      <c r="H32" s="183" t="s">
        <v>206</v>
      </c>
      <c r="I32" s="181"/>
      <c r="J32" s="354"/>
      <c r="K32" s="354"/>
      <c r="L32" s="354"/>
      <c r="M32" s="470"/>
      <c r="N32" s="354"/>
      <c r="O32" s="354"/>
    </row>
    <row r="33" spans="1:15" ht="15" x14ac:dyDescent="0.25">
      <c r="A33" s="181"/>
      <c r="B33" s="181"/>
      <c r="C33" s="181"/>
      <c r="D33" s="181"/>
      <c r="E33" s="182"/>
      <c r="F33" s="181"/>
      <c r="G33" s="181"/>
      <c r="H33" s="183"/>
      <c r="I33" s="181"/>
      <c r="J33" s="354"/>
      <c r="K33" s="354"/>
      <c r="L33" s="354"/>
      <c r="M33" s="470"/>
      <c r="N33" s="354"/>
      <c r="O33" s="354"/>
    </row>
    <row r="34" spans="1:15" ht="15" x14ac:dyDescent="0.25">
      <c r="A34" s="184" t="s">
        <v>298</v>
      </c>
      <c r="B34" s="184"/>
      <c r="C34" s="185"/>
      <c r="D34" s="185"/>
      <c r="E34" s="184"/>
      <c r="F34" s="184"/>
      <c r="G34" s="184"/>
      <c r="H34" s="383"/>
      <c r="I34" s="184"/>
      <c r="J34" s="403"/>
      <c r="K34" s="403"/>
      <c r="L34" s="403"/>
      <c r="M34" s="465"/>
      <c r="N34" s="403"/>
      <c r="O34" s="404"/>
    </row>
    <row r="35" spans="1:15" ht="15" x14ac:dyDescent="0.25">
      <c r="A35" s="901">
        <v>1.08</v>
      </c>
      <c r="B35" s="902"/>
      <c r="C35" s="902"/>
      <c r="D35" s="902"/>
      <c r="E35" s="902"/>
      <c r="F35" s="902"/>
      <c r="G35" s="902"/>
      <c r="H35" s="902"/>
      <c r="I35" s="902"/>
      <c r="J35" s="902"/>
      <c r="K35" s="902"/>
      <c r="L35" s="902"/>
      <c r="M35" s="902"/>
      <c r="N35" s="902"/>
      <c r="O35" s="903"/>
    </row>
    <row r="36" spans="1:15" ht="60" x14ac:dyDescent="0.25">
      <c r="A36" s="176" t="s">
        <v>89</v>
      </c>
      <c r="B36" s="176" t="s">
        <v>90</v>
      </c>
      <c r="C36" s="177" t="s">
        <v>0</v>
      </c>
      <c r="D36" s="177" t="s">
        <v>124</v>
      </c>
      <c r="E36" s="176" t="s">
        <v>143</v>
      </c>
      <c r="F36" s="176" t="s">
        <v>144</v>
      </c>
      <c r="G36" s="176" t="s">
        <v>13</v>
      </c>
      <c r="H36" s="382" t="s">
        <v>88</v>
      </c>
      <c r="I36" s="176" t="s">
        <v>12</v>
      </c>
      <c r="J36" s="400" t="s">
        <v>200</v>
      </c>
      <c r="K36" s="400" t="s">
        <v>199</v>
      </c>
      <c r="L36" s="400" t="s">
        <v>201</v>
      </c>
      <c r="M36" s="461" t="s">
        <v>149</v>
      </c>
      <c r="N36" s="400" t="s">
        <v>179</v>
      </c>
      <c r="O36" s="400" t="s">
        <v>304</v>
      </c>
    </row>
    <row r="37" spans="1:15" ht="30" x14ac:dyDescent="0.25">
      <c r="A37" s="328" t="s">
        <v>84</v>
      </c>
      <c r="B37" s="328" t="s">
        <v>9</v>
      </c>
      <c r="C37" s="328" t="s">
        <v>183</v>
      </c>
      <c r="D37" s="328" t="s">
        <v>142</v>
      </c>
      <c r="E37" s="329" t="s">
        <v>142</v>
      </c>
      <c r="F37" s="328" t="s">
        <v>142</v>
      </c>
      <c r="G37" s="328" t="s">
        <v>22</v>
      </c>
      <c r="H37" s="93">
        <v>41449</v>
      </c>
      <c r="I37" s="328" t="s">
        <v>172</v>
      </c>
      <c r="J37" s="96">
        <v>7.0349999999999996E-2</v>
      </c>
      <c r="K37" s="96" t="s">
        <v>299</v>
      </c>
      <c r="L37" s="96">
        <v>7.0349999999999996E-2</v>
      </c>
      <c r="M37" s="466">
        <f>+O37*50000/1000000</f>
        <v>6.4295000000000005E-2</v>
      </c>
      <c r="N37" s="96">
        <f>IF(M37-L37&lt;0,0,M37-L37)</f>
        <v>0</v>
      </c>
      <c r="O37" s="96">
        <v>1.2859</v>
      </c>
    </row>
    <row r="38" spans="1:15" ht="30" x14ac:dyDescent="0.25">
      <c r="A38" s="111" t="s">
        <v>297</v>
      </c>
      <c r="B38" s="99"/>
      <c r="C38" s="2"/>
      <c r="D38" s="2"/>
      <c r="E38" s="2"/>
      <c r="F38" s="2"/>
      <c r="G38" s="2"/>
      <c r="I38" s="2"/>
      <c r="J38" s="293"/>
      <c r="K38" s="293"/>
      <c r="L38" s="144">
        <f>L37</f>
        <v>7.0349999999999996E-2</v>
      </c>
      <c r="M38" s="471">
        <f>M37</f>
        <v>6.4295000000000005E-2</v>
      </c>
      <c r="N38" s="144">
        <f>N37</f>
        <v>0</v>
      </c>
      <c r="O38" s="144">
        <f>O37</f>
        <v>1.2859</v>
      </c>
    </row>
    <row r="39" spans="1:15" ht="15" x14ac:dyDescent="0.25">
      <c r="A39" s="99"/>
      <c r="B39" s="99"/>
      <c r="C39" s="99"/>
      <c r="D39" s="99"/>
      <c r="E39" s="99"/>
      <c r="F39" s="99"/>
      <c r="G39" s="99"/>
      <c r="H39" s="388"/>
      <c r="I39" s="99"/>
      <c r="J39" s="144"/>
      <c r="K39" s="144"/>
      <c r="L39" s="144"/>
      <c r="M39" s="471"/>
      <c r="N39" s="144"/>
      <c r="O39" s="144"/>
    </row>
    <row r="40" spans="1:15" ht="15" x14ac:dyDescent="0.25">
      <c r="A40" s="99"/>
      <c r="B40" s="99"/>
      <c r="C40" s="99"/>
      <c r="D40" s="99"/>
      <c r="E40" s="99"/>
      <c r="F40" s="99"/>
      <c r="G40" s="99"/>
      <c r="H40" s="388"/>
      <c r="I40" s="99"/>
      <c r="J40" s="77"/>
      <c r="K40" s="144"/>
      <c r="L40" s="144"/>
      <c r="M40" s="471"/>
      <c r="N40" s="77"/>
      <c r="O40" s="77"/>
    </row>
    <row r="41" spans="1:15" ht="15" x14ac:dyDescent="0.25">
      <c r="A41" s="99"/>
      <c r="B41" s="99"/>
      <c r="C41" s="99"/>
      <c r="D41" s="99"/>
      <c r="E41" s="99"/>
      <c r="F41" s="99"/>
      <c r="G41" s="99"/>
      <c r="H41" s="388"/>
      <c r="I41" s="99"/>
      <c r="J41" s="77"/>
      <c r="K41" s="77"/>
      <c r="L41" s="77"/>
      <c r="M41" s="471"/>
      <c r="N41" s="77"/>
      <c r="O41" s="77"/>
    </row>
    <row r="42" spans="1:15" ht="15" x14ac:dyDescent="0.25">
      <c r="A42" s="99"/>
      <c r="B42" s="99"/>
      <c r="C42" s="99"/>
      <c r="D42" s="99"/>
      <c r="E42" s="99"/>
      <c r="F42" s="99"/>
      <c r="G42" s="99"/>
      <c r="H42" s="388"/>
      <c r="I42" s="99"/>
      <c r="J42" s="77"/>
      <c r="K42" s="77"/>
      <c r="L42" s="77"/>
      <c r="M42" s="471"/>
      <c r="N42" s="77"/>
      <c r="O42" s="77"/>
    </row>
    <row r="43" spans="1:15" ht="15" x14ac:dyDescent="0.25">
      <c r="A43" s="99"/>
      <c r="B43" s="99"/>
      <c r="C43" s="99"/>
      <c r="D43" s="99"/>
      <c r="E43" s="99"/>
      <c r="F43" s="99"/>
      <c r="G43" s="99"/>
      <c r="H43" s="388"/>
      <c r="I43" s="99"/>
      <c r="J43" s="77"/>
      <c r="K43" s="77"/>
      <c r="L43" s="77"/>
      <c r="M43" s="471"/>
      <c r="N43" s="77"/>
      <c r="O43" s="77"/>
    </row>
    <row r="44" spans="1:15" ht="15" x14ac:dyDescent="0.25">
      <c r="A44" s="99"/>
      <c r="B44" s="99"/>
      <c r="C44" s="99"/>
      <c r="D44" s="99"/>
      <c r="E44" s="99"/>
      <c r="F44" s="99"/>
      <c r="G44" s="99"/>
      <c r="H44" s="388"/>
      <c r="I44" s="99"/>
      <c r="J44" s="77"/>
      <c r="K44" s="77"/>
      <c r="L44" s="77"/>
      <c r="M44" s="471"/>
      <c r="N44" s="77"/>
      <c r="O44" s="77"/>
    </row>
    <row r="45" spans="1:15" ht="15" x14ac:dyDescent="0.25">
      <c r="A45" s="99"/>
      <c r="B45" s="99"/>
      <c r="C45" s="99"/>
      <c r="D45" s="99"/>
      <c r="E45" s="99"/>
      <c r="F45" s="99"/>
      <c r="G45" s="99"/>
      <c r="H45" s="388"/>
      <c r="I45" s="99"/>
      <c r="J45" s="77"/>
      <c r="K45" s="77"/>
      <c r="L45" s="77"/>
      <c r="M45" s="471"/>
      <c r="N45" s="77"/>
      <c r="O45" s="77"/>
    </row>
    <row r="46" spans="1:15" ht="15" x14ac:dyDescent="0.25">
      <c r="A46" s="99"/>
      <c r="B46" s="99"/>
      <c r="C46" s="99"/>
      <c r="D46" s="99"/>
      <c r="E46" s="99"/>
      <c r="F46" s="99"/>
      <c r="G46" s="99"/>
      <c r="H46" s="388"/>
      <c r="I46" s="99"/>
      <c r="J46" s="77"/>
      <c r="K46" s="77"/>
      <c r="L46" s="77"/>
      <c r="M46" s="471"/>
      <c r="N46" s="77"/>
      <c r="O46" s="77"/>
    </row>
    <row r="47" spans="1:15" ht="15.6" thickBot="1" x14ac:dyDescent="0.3">
      <c r="A47" s="904"/>
      <c r="B47" s="904"/>
      <c r="C47" s="904"/>
      <c r="D47" s="904"/>
      <c r="E47" s="904"/>
      <c r="F47" s="904"/>
      <c r="G47" s="904"/>
      <c r="H47" s="904"/>
      <c r="I47" s="904"/>
      <c r="J47" s="904"/>
      <c r="K47" s="904"/>
      <c r="L47" s="904"/>
      <c r="M47" s="904"/>
      <c r="N47" s="904"/>
      <c r="O47" s="904"/>
    </row>
    <row r="48" spans="1:15" ht="15.6" x14ac:dyDescent="0.3">
      <c r="A48" s="905"/>
      <c r="B48" s="905"/>
      <c r="C48" s="905"/>
      <c r="D48" s="905"/>
      <c r="E48" s="905"/>
      <c r="F48" s="905"/>
      <c r="G48" s="99"/>
      <c r="H48" s="388"/>
      <c r="I48" s="99"/>
      <c r="J48" s="77"/>
      <c r="K48" s="77"/>
      <c r="L48" s="77"/>
      <c r="M48" s="471"/>
      <c r="N48" s="77"/>
      <c r="O48" s="77"/>
    </row>
    <row r="49" spans="1:15" ht="15.6" x14ac:dyDescent="0.3">
      <c r="A49" s="202"/>
      <c r="B49" s="203"/>
      <c r="C49" s="203"/>
      <c r="D49" s="202"/>
      <c r="E49" s="202"/>
      <c r="F49" s="202"/>
      <c r="G49" s="99"/>
      <c r="H49" s="384"/>
      <c r="I49" s="99"/>
      <c r="J49" s="77"/>
      <c r="K49" s="77"/>
      <c r="L49" s="77"/>
      <c r="M49" s="471"/>
      <c r="N49" s="77"/>
      <c r="O49" s="77"/>
    </row>
    <row r="50" spans="1:15" ht="15" x14ac:dyDescent="0.25">
      <c r="A50" s="391"/>
      <c r="B50" s="391"/>
      <c r="C50" s="391"/>
      <c r="D50" s="391"/>
      <c r="E50" s="391"/>
      <c r="F50" s="391"/>
      <c r="G50" s="99"/>
      <c r="H50" s="388"/>
      <c r="I50" s="99"/>
      <c r="J50" s="77"/>
      <c r="K50" s="77"/>
      <c r="L50" s="77"/>
      <c r="M50" s="471"/>
      <c r="N50" s="77"/>
      <c r="O50" s="77"/>
    </row>
    <row r="51" spans="1:15" ht="15" x14ac:dyDescent="0.25">
      <c r="A51" s="395"/>
      <c r="B51" s="392"/>
      <c r="C51" s="392"/>
      <c r="D51" s="392"/>
      <c r="E51" s="392"/>
      <c r="F51" s="205"/>
      <c r="G51" s="99"/>
      <c r="H51" s="388"/>
      <c r="I51" s="99"/>
      <c r="J51" s="77"/>
      <c r="K51" s="77"/>
      <c r="L51" s="77"/>
      <c r="M51" s="471"/>
      <c r="N51" s="77"/>
      <c r="O51" s="77"/>
    </row>
    <row r="52" spans="1:15" ht="15" x14ac:dyDescent="0.25">
      <c r="A52" s="395"/>
      <c r="B52" s="392"/>
      <c r="C52" s="392"/>
      <c r="D52" s="392"/>
      <c r="E52" s="392"/>
      <c r="F52" s="205"/>
      <c r="G52" s="99"/>
      <c r="H52" s="388"/>
      <c r="I52" s="99"/>
      <c r="J52" s="77"/>
      <c r="K52" s="77"/>
      <c r="L52" s="77"/>
      <c r="M52" s="471"/>
      <c r="N52" s="77"/>
      <c r="O52" s="77"/>
    </row>
    <row r="53" spans="1:15" ht="15" x14ac:dyDescent="0.25">
      <c r="A53" s="391"/>
      <c r="B53" s="392"/>
      <c r="C53" s="392"/>
      <c r="D53" s="392"/>
      <c r="E53" s="392"/>
      <c r="F53" s="205"/>
      <c r="G53" s="99"/>
      <c r="H53" s="388"/>
      <c r="I53" s="99"/>
      <c r="J53" s="77"/>
      <c r="K53" s="77"/>
      <c r="L53" s="77"/>
      <c r="M53" s="471"/>
      <c r="N53" s="77"/>
      <c r="O53" s="77"/>
    </row>
    <row r="54" spans="1:15" ht="15" x14ac:dyDescent="0.25">
      <c r="A54" s="395"/>
      <c r="B54" s="392"/>
      <c r="C54" s="392"/>
      <c r="D54" s="392"/>
      <c r="E54" s="392"/>
      <c r="F54" s="205"/>
      <c r="G54" s="99"/>
      <c r="H54" s="388"/>
      <c r="I54" s="99"/>
      <c r="J54" s="77"/>
      <c r="K54" s="77"/>
      <c r="L54" s="77"/>
      <c r="M54" s="471"/>
      <c r="N54" s="77"/>
      <c r="O54" s="77"/>
    </row>
    <row r="55" spans="1:15" ht="15" x14ac:dyDescent="0.25">
      <c r="A55" s="391"/>
      <c r="B55" s="392"/>
      <c r="C55" s="392"/>
      <c r="D55" s="392"/>
      <c r="E55" s="392"/>
      <c r="F55" s="205"/>
      <c r="G55" s="99"/>
      <c r="H55" s="388"/>
      <c r="I55" s="99"/>
      <c r="J55" s="77"/>
      <c r="K55" s="77"/>
      <c r="L55" s="77"/>
      <c r="M55" s="471"/>
      <c r="N55" s="77"/>
      <c r="O55" s="77"/>
    </row>
    <row r="56" spans="1:15" ht="15" x14ac:dyDescent="0.25">
      <c r="A56" s="391"/>
      <c r="B56" s="392"/>
      <c r="C56" s="392"/>
      <c r="D56" s="392"/>
      <c r="E56" s="392"/>
      <c r="F56" s="205"/>
      <c r="G56" s="99"/>
      <c r="H56" s="388"/>
      <c r="I56" s="99"/>
      <c r="J56" s="77"/>
      <c r="K56" s="77"/>
      <c r="L56" s="77"/>
      <c r="M56" s="471"/>
      <c r="N56" s="77"/>
      <c r="O56" s="77"/>
    </row>
    <row r="57" spans="1:15" ht="16.8" x14ac:dyDescent="0.4">
      <c r="A57" s="391"/>
      <c r="B57" s="393"/>
      <c r="C57" s="393"/>
      <c r="D57" s="393"/>
      <c r="E57" s="393"/>
      <c r="F57" s="207"/>
      <c r="G57" s="99"/>
      <c r="H57" s="389"/>
      <c r="I57" s="99"/>
      <c r="J57" s="77"/>
      <c r="K57" s="77"/>
      <c r="L57" s="77"/>
      <c r="M57" s="471"/>
      <c r="N57" s="77"/>
      <c r="O57" s="77"/>
    </row>
    <row r="58" spans="1:15" ht="16.8" x14ac:dyDescent="0.4">
      <c r="A58" s="391"/>
      <c r="B58" s="394"/>
      <c r="C58" s="394"/>
      <c r="D58" s="394"/>
      <c r="E58" s="394"/>
      <c r="F58" s="210"/>
      <c r="G58" s="99"/>
      <c r="H58" s="390"/>
      <c r="I58" s="99"/>
      <c r="J58" s="77"/>
      <c r="K58" s="77"/>
      <c r="L58" s="77"/>
      <c r="M58" s="471"/>
      <c r="N58" s="77"/>
      <c r="O58" s="77"/>
    </row>
    <row r="59" spans="1:15" ht="15" x14ac:dyDescent="0.25">
      <c r="A59" s="391"/>
      <c r="B59" s="391"/>
      <c r="C59" s="391"/>
      <c r="D59" s="391"/>
      <c r="E59" s="391"/>
      <c r="F59" s="391"/>
      <c r="G59" s="99"/>
      <c r="H59" s="388"/>
      <c r="I59" s="99"/>
      <c r="J59" s="77"/>
      <c r="K59" s="77"/>
      <c r="L59" s="77"/>
      <c r="M59" s="471"/>
      <c r="N59" s="77"/>
      <c r="O59" s="77"/>
    </row>
    <row r="60" spans="1:15" ht="15" x14ac:dyDescent="0.25">
      <c r="A60" s="99"/>
      <c r="B60" s="99"/>
      <c r="C60" s="99"/>
      <c r="D60" s="99"/>
      <c r="E60" s="99"/>
      <c r="F60" s="99"/>
      <c r="G60" s="99"/>
      <c r="H60" s="388"/>
      <c r="I60" s="99"/>
      <c r="J60" s="77"/>
      <c r="K60" s="77"/>
      <c r="L60" s="77"/>
      <c r="M60" s="471"/>
      <c r="N60" s="77"/>
      <c r="O60" s="77"/>
    </row>
    <row r="61" spans="1:15" ht="15" x14ac:dyDescent="0.25">
      <c r="A61" s="99"/>
      <c r="B61" s="99"/>
      <c r="C61" s="99"/>
      <c r="D61" s="99"/>
      <c r="E61" s="99"/>
      <c r="F61" s="99"/>
      <c r="G61" s="99"/>
      <c r="H61" s="388"/>
      <c r="I61" s="99"/>
      <c r="J61" s="77"/>
      <c r="K61" s="77"/>
      <c r="L61" s="77"/>
      <c r="M61" s="471"/>
      <c r="N61" s="77"/>
      <c r="O61" s="77"/>
    </row>
    <row r="62" spans="1:15" ht="15" x14ac:dyDescent="0.25">
      <c r="A62" s="99"/>
      <c r="B62" s="99"/>
      <c r="C62" s="99"/>
      <c r="D62" s="99"/>
      <c r="E62" s="99"/>
      <c r="F62" s="99"/>
      <c r="G62" s="99"/>
      <c r="H62" s="388"/>
      <c r="I62" s="99"/>
      <c r="J62" s="77"/>
      <c r="K62" s="77"/>
      <c r="L62" s="77"/>
      <c r="M62" s="471"/>
      <c r="N62" s="77"/>
      <c r="O62" s="77"/>
    </row>
    <row r="63" spans="1:15" ht="15" x14ac:dyDescent="0.25">
      <c r="A63" s="99"/>
      <c r="B63" s="99"/>
      <c r="C63" s="99"/>
      <c r="D63" s="99"/>
      <c r="E63" s="99"/>
      <c r="F63" s="99"/>
      <c r="G63" s="99"/>
      <c r="H63" s="388"/>
      <c r="I63" s="99"/>
      <c r="J63" s="77"/>
      <c r="K63" s="77"/>
      <c r="L63" s="77"/>
      <c r="M63" s="471"/>
      <c r="N63" s="77"/>
      <c r="O63" s="77"/>
    </row>
    <row r="64" spans="1:15" ht="15" x14ac:dyDescent="0.25">
      <c r="A64" s="99"/>
      <c r="B64" s="99"/>
      <c r="C64" s="99"/>
      <c r="D64" s="99"/>
      <c r="E64" s="99"/>
      <c r="F64" s="99"/>
      <c r="G64" s="99"/>
      <c r="H64" s="388"/>
      <c r="I64" s="99"/>
      <c r="J64" s="77"/>
      <c r="K64" s="77"/>
      <c r="L64" s="77"/>
      <c r="M64" s="471"/>
      <c r="N64" s="77"/>
      <c r="O64" s="77"/>
    </row>
    <row r="65" spans="1:15" ht="15" x14ac:dyDescent="0.25">
      <c r="A65" s="99"/>
      <c r="B65" s="99"/>
      <c r="C65" s="99"/>
      <c r="D65" s="99"/>
      <c r="E65" s="99"/>
      <c r="F65" s="99"/>
      <c r="G65" s="99"/>
      <c r="H65" s="388"/>
      <c r="I65" s="99"/>
      <c r="J65" s="77"/>
      <c r="K65" s="77"/>
      <c r="L65" s="77"/>
      <c r="M65" s="471"/>
      <c r="N65" s="77"/>
      <c r="O65" s="77"/>
    </row>
    <row r="66" spans="1:15" ht="15" x14ac:dyDescent="0.25">
      <c r="A66" s="99"/>
      <c r="B66" s="99"/>
      <c r="C66" s="99"/>
      <c r="D66" s="99"/>
      <c r="E66" s="99"/>
      <c r="F66" s="99"/>
      <c r="G66" s="99"/>
      <c r="H66" s="388"/>
      <c r="I66" s="99"/>
      <c r="J66" s="77"/>
      <c r="K66" s="77"/>
      <c r="L66" s="77"/>
      <c r="M66" s="471"/>
      <c r="N66" s="77"/>
      <c r="O66" s="77"/>
    </row>
    <row r="67" spans="1:15" ht="15" x14ac:dyDescent="0.25">
      <c r="A67" s="99"/>
      <c r="B67" s="99"/>
      <c r="C67" s="99"/>
      <c r="D67" s="99"/>
      <c r="E67" s="99"/>
      <c r="F67" s="99"/>
      <c r="G67" s="99"/>
      <c r="H67" s="388"/>
      <c r="I67" s="99"/>
      <c r="J67" s="77"/>
      <c r="K67" s="77"/>
      <c r="L67" s="77"/>
      <c r="M67" s="471"/>
      <c r="N67" s="77"/>
      <c r="O67" s="77"/>
    </row>
    <row r="68" spans="1:15" ht="15" x14ac:dyDescent="0.25">
      <c r="A68" s="99"/>
      <c r="B68" s="99"/>
      <c r="C68" s="99"/>
      <c r="D68" s="99"/>
      <c r="E68" s="99"/>
      <c r="F68" s="99"/>
      <c r="G68" s="99"/>
      <c r="H68" s="388"/>
      <c r="I68" s="99"/>
      <c r="J68" s="77"/>
      <c r="K68" s="77"/>
      <c r="L68" s="77"/>
      <c r="M68" s="471"/>
      <c r="N68" s="77"/>
      <c r="O68" s="77"/>
    </row>
    <row r="69" spans="1:15" ht="15" x14ac:dyDescent="0.25">
      <c r="A69" s="99"/>
      <c r="B69" s="99"/>
      <c r="C69" s="99"/>
      <c r="D69" s="99"/>
      <c r="E69" s="99"/>
      <c r="F69" s="99"/>
      <c r="G69" s="99"/>
      <c r="H69" s="388"/>
      <c r="I69" s="99"/>
      <c r="J69" s="77"/>
      <c r="K69" s="77"/>
      <c r="L69" s="77"/>
      <c r="M69" s="471"/>
      <c r="N69" s="77"/>
      <c r="O69" s="77"/>
    </row>
    <row r="70" spans="1:15" ht="15" x14ac:dyDescent="0.25">
      <c r="A70" s="99"/>
      <c r="B70" s="99"/>
      <c r="C70" s="99"/>
      <c r="D70" s="99"/>
      <c r="E70" s="99"/>
      <c r="F70" s="99"/>
      <c r="G70" s="99"/>
      <c r="H70" s="388"/>
      <c r="I70" s="99"/>
      <c r="J70" s="77"/>
      <c r="K70" s="77"/>
      <c r="L70" s="77"/>
      <c r="M70" s="471"/>
      <c r="N70" s="77"/>
      <c r="O70" s="77"/>
    </row>
    <row r="71" spans="1:15" ht="15" x14ac:dyDescent="0.25">
      <c r="A71" s="99"/>
      <c r="B71" s="99"/>
      <c r="C71" s="99"/>
      <c r="D71" s="99"/>
      <c r="E71" s="99"/>
      <c r="F71" s="99"/>
      <c r="G71" s="99"/>
      <c r="H71" s="388"/>
      <c r="I71" s="99"/>
      <c r="J71" s="77"/>
      <c r="K71" s="77"/>
      <c r="L71" s="77"/>
      <c r="M71" s="471"/>
      <c r="N71" s="77"/>
      <c r="O71" s="77"/>
    </row>
    <row r="72" spans="1:15" ht="15" x14ac:dyDescent="0.25">
      <c r="A72" s="99"/>
      <c r="B72" s="99"/>
      <c r="C72" s="99"/>
      <c r="D72" s="99"/>
      <c r="E72" s="99"/>
      <c r="F72" s="99"/>
      <c r="G72" s="99"/>
      <c r="H72" s="388"/>
      <c r="I72" s="99"/>
      <c r="J72" s="77"/>
      <c r="K72" s="77"/>
      <c r="L72" s="77"/>
      <c r="M72" s="471"/>
      <c r="N72" s="77"/>
      <c r="O72" s="77"/>
    </row>
    <row r="73" spans="1:15" ht="15" x14ac:dyDescent="0.25">
      <c r="A73" s="99"/>
      <c r="B73" s="99"/>
      <c r="C73" s="99"/>
      <c r="D73" s="99"/>
      <c r="E73" s="99"/>
      <c r="F73" s="99"/>
      <c r="G73" s="99"/>
      <c r="H73" s="388"/>
      <c r="I73" s="99"/>
      <c r="J73" s="77"/>
      <c r="K73" s="77"/>
      <c r="L73" s="77"/>
      <c r="M73" s="471"/>
      <c r="N73" s="77"/>
      <c r="O73" s="77"/>
    </row>
    <row r="74" spans="1:15" ht="15" x14ac:dyDescent="0.25">
      <c r="A74" s="99"/>
      <c r="B74" s="99"/>
      <c r="C74" s="99"/>
      <c r="D74" s="99"/>
      <c r="E74" s="99"/>
      <c r="F74" s="99"/>
      <c r="G74" s="99"/>
      <c r="H74" s="388"/>
      <c r="I74" s="99"/>
      <c r="J74" s="77"/>
      <c r="K74" s="77"/>
      <c r="L74" s="77"/>
      <c r="M74" s="471"/>
      <c r="N74" s="77"/>
      <c r="O74" s="77"/>
    </row>
    <row r="75" spans="1:15" ht="15" x14ac:dyDescent="0.25">
      <c r="A75" s="99"/>
      <c r="B75" s="99"/>
      <c r="C75" s="99"/>
      <c r="D75" s="99"/>
      <c r="E75" s="99"/>
      <c r="F75" s="99"/>
      <c r="G75" s="99"/>
      <c r="H75" s="388"/>
      <c r="I75" s="99"/>
      <c r="J75" s="77"/>
      <c r="K75" s="77"/>
      <c r="L75" s="77"/>
      <c r="M75" s="471"/>
      <c r="N75" s="77"/>
      <c r="O75" s="77"/>
    </row>
    <row r="76" spans="1:15" ht="15" x14ac:dyDescent="0.25">
      <c r="A76" s="99"/>
      <c r="B76" s="99"/>
      <c r="C76" s="99"/>
      <c r="D76" s="99"/>
      <c r="E76" s="99"/>
      <c r="F76" s="99"/>
      <c r="G76" s="99"/>
      <c r="H76" s="388"/>
      <c r="I76" s="99"/>
      <c r="J76" s="77"/>
      <c r="K76" s="77"/>
      <c r="L76" s="77"/>
      <c r="M76" s="471"/>
      <c r="N76" s="77"/>
      <c r="O76" s="77"/>
    </row>
    <row r="77" spans="1:15" ht="15" x14ac:dyDescent="0.25">
      <c r="A77" s="99"/>
      <c r="B77" s="99"/>
      <c r="C77" s="99"/>
      <c r="D77" s="99"/>
      <c r="E77" s="99"/>
      <c r="F77" s="99"/>
      <c r="G77" s="99"/>
      <c r="H77" s="388"/>
      <c r="I77" s="99"/>
      <c r="J77" s="77"/>
      <c r="K77" s="77"/>
      <c r="L77" s="77"/>
      <c r="M77" s="471"/>
      <c r="N77" s="77"/>
      <c r="O77" s="77"/>
    </row>
    <row r="78" spans="1:15" ht="15" x14ac:dyDescent="0.25">
      <c r="A78" s="99"/>
      <c r="B78" s="99"/>
      <c r="C78" s="99"/>
      <c r="D78" s="99"/>
      <c r="E78" s="99"/>
      <c r="F78" s="99"/>
      <c r="G78" s="99"/>
      <c r="H78" s="388"/>
      <c r="I78" s="99"/>
      <c r="J78" s="77"/>
      <c r="K78" s="77"/>
      <c r="L78" s="77"/>
      <c r="M78" s="471"/>
      <c r="N78" s="77"/>
      <c r="O78" s="77"/>
    </row>
    <row r="79" spans="1:15" ht="15" x14ac:dyDescent="0.25">
      <c r="A79" s="99"/>
      <c r="B79" s="99"/>
      <c r="C79" s="99"/>
      <c r="D79" s="99"/>
      <c r="E79" s="99"/>
      <c r="F79" s="99"/>
      <c r="G79" s="99"/>
      <c r="H79" s="388"/>
      <c r="I79" s="99"/>
      <c r="J79" s="77"/>
      <c r="K79" s="77"/>
      <c r="L79" s="77"/>
      <c r="M79" s="471"/>
      <c r="N79" s="77"/>
      <c r="O79" s="77"/>
    </row>
    <row r="80" spans="1:15" ht="15" x14ac:dyDescent="0.25">
      <c r="A80" s="99"/>
      <c r="B80" s="99"/>
      <c r="C80" s="99"/>
      <c r="D80" s="99"/>
      <c r="E80" s="99"/>
      <c r="F80" s="99"/>
      <c r="G80" s="99"/>
      <c r="H80" s="388"/>
      <c r="I80" s="99"/>
      <c r="J80" s="77"/>
      <c r="K80" s="77"/>
      <c r="L80" s="77"/>
      <c r="M80" s="471"/>
      <c r="N80" s="77"/>
      <c r="O80" s="77"/>
    </row>
    <row r="81" spans="1:15" ht="15" x14ac:dyDescent="0.25">
      <c r="A81" s="99"/>
      <c r="B81" s="99"/>
      <c r="C81" s="99"/>
      <c r="D81" s="99"/>
      <c r="E81" s="99"/>
      <c r="F81" s="99"/>
      <c r="G81" s="99"/>
      <c r="H81" s="388"/>
      <c r="I81" s="99"/>
      <c r="J81" s="77"/>
      <c r="K81" s="77"/>
      <c r="L81" s="77"/>
      <c r="M81" s="471"/>
      <c r="N81" s="77"/>
      <c r="O81" s="77"/>
    </row>
    <row r="82" spans="1:15" ht="15" x14ac:dyDescent="0.25">
      <c r="A82" s="99"/>
      <c r="B82" s="99"/>
      <c r="C82" s="99"/>
      <c r="D82" s="99"/>
      <c r="E82" s="99"/>
      <c r="F82" s="99"/>
      <c r="G82" s="99"/>
      <c r="H82" s="388"/>
      <c r="I82" s="99"/>
      <c r="J82" s="77"/>
      <c r="K82" s="77"/>
      <c r="L82" s="77"/>
      <c r="M82" s="471"/>
      <c r="N82" s="77"/>
      <c r="O82" s="77"/>
    </row>
    <row r="83" spans="1:15" ht="15" x14ac:dyDescent="0.25">
      <c r="A83" s="99"/>
      <c r="B83" s="99"/>
      <c r="C83" s="99"/>
      <c r="D83" s="99"/>
      <c r="E83" s="99"/>
      <c r="F83" s="99"/>
      <c r="G83" s="99"/>
      <c r="H83" s="388"/>
      <c r="I83" s="99"/>
      <c r="J83" s="77"/>
      <c r="K83" s="77"/>
      <c r="L83" s="77"/>
      <c r="M83" s="471"/>
      <c r="N83" s="77"/>
      <c r="O83" s="77"/>
    </row>
    <row r="84" spans="1:15" ht="15" x14ac:dyDescent="0.25">
      <c r="A84" s="99"/>
      <c r="B84" s="99"/>
      <c r="C84" s="99"/>
      <c r="D84" s="99"/>
      <c r="E84" s="99"/>
      <c r="F84" s="99"/>
      <c r="G84" s="99"/>
      <c r="H84" s="388"/>
      <c r="I84" s="99"/>
      <c r="J84" s="77"/>
      <c r="K84" s="77"/>
      <c r="L84" s="77"/>
      <c r="M84" s="471"/>
      <c r="N84" s="77"/>
      <c r="O84" s="77"/>
    </row>
    <row r="85" spans="1:15" ht="15" x14ac:dyDescent="0.25">
      <c r="A85" s="99"/>
      <c r="B85" s="99"/>
      <c r="C85" s="99"/>
      <c r="D85" s="99"/>
      <c r="E85" s="99"/>
      <c r="F85" s="99"/>
      <c r="G85" s="99"/>
      <c r="H85" s="388"/>
      <c r="I85" s="99"/>
      <c r="J85" s="77"/>
      <c r="K85" s="77"/>
      <c r="L85" s="77"/>
      <c r="M85" s="471"/>
      <c r="N85" s="77"/>
      <c r="O85" s="77"/>
    </row>
    <row r="86" spans="1:15" ht="15" x14ac:dyDescent="0.25">
      <c r="A86" s="99"/>
      <c r="B86" s="99"/>
      <c r="C86" s="99"/>
      <c r="D86" s="99"/>
      <c r="E86" s="99"/>
      <c r="F86" s="99"/>
      <c r="G86" s="99"/>
      <c r="H86" s="388"/>
      <c r="I86" s="99"/>
      <c r="J86" s="77"/>
      <c r="K86" s="77"/>
      <c r="L86" s="77"/>
      <c r="M86" s="471"/>
      <c r="N86" s="77"/>
      <c r="O86" s="77"/>
    </row>
    <row r="87" spans="1:15" ht="15" x14ac:dyDescent="0.25">
      <c r="A87" s="99"/>
      <c r="B87" s="99"/>
      <c r="C87" s="99"/>
      <c r="D87" s="99"/>
      <c r="E87" s="99"/>
      <c r="F87" s="99"/>
      <c r="G87" s="99"/>
      <c r="H87" s="388"/>
      <c r="I87" s="99"/>
      <c r="J87" s="77"/>
      <c r="K87" s="77"/>
      <c r="L87" s="77"/>
      <c r="M87" s="471"/>
      <c r="N87" s="77"/>
      <c r="O87" s="77"/>
    </row>
    <row r="88" spans="1:15" ht="15" x14ac:dyDescent="0.25">
      <c r="A88" s="99"/>
      <c r="B88" s="99"/>
      <c r="C88" s="99"/>
      <c r="D88" s="99"/>
      <c r="E88" s="99"/>
      <c r="F88" s="99"/>
      <c r="G88" s="99"/>
      <c r="H88" s="388"/>
      <c r="I88" s="99"/>
      <c r="J88" s="77"/>
      <c r="K88" s="77"/>
      <c r="L88" s="77"/>
      <c r="M88" s="471"/>
      <c r="N88" s="77"/>
      <c r="O88" s="77"/>
    </row>
    <row r="89" spans="1:15" ht="15" x14ac:dyDescent="0.25">
      <c r="A89" s="99"/>
      <c r="B89" s="99"/>
      <c r="C89" s="99"/>
      <c r="D89" s="99"/>
      <c r="E89" s="99"/>
      <c r="F89" s="99"/>
      <c r="G89" s="99"/>
      <c r="H89" s="388"/>
      <c r="I89" s="99"/>
      <c r="J89" s="77"/>
      <c r="K89" s="77"/>
      <c r="L89" s="77"/>
      <c r="M89" s="471"/>
      <c r="N89" s="77"/>
      <c r="O89" s="77"/>
    </row>
    <row r="90" spans="1:15" ht="15" x14ac:dyDescent="0.25">
      <c r="A90" s="99"/>
      <c r="B90" s="99"/>
      <c r="C90" s="99"/>
      <c r="D90" s="99"/>
      <c r="E90" s="99"/>
      <c r="F90" s="99"/>
      <c r="G90" s="99"/>
      <c r="H90" s="388"/>
      <c r="I90" s="99"/>
      <c r="J90" s="77"/>
      <c r="K90" s="77"/>
      <c r="L90" s="77"/>
      <c r="M90" s="471"/>
      <c r="N90" s="77"/>
      <c r="O90" s="77"/>
    </row>
    <row r="91" spans="1:15" ht="15" x14ac:dyDescent="0.25">
      <c r="A91" s="99"/>
      <c r="B91" s="99"/>
      <c r="C91" s="99"/>
      <c r="D91" s="99"/>
      <c r="E91" s="99"/>
      <c r="F91" s="99"/>
      <c r="G91" s="99"/>
      <c r="H91" s="388"/>
      <c r="I91" s="99"/>
      <c r="J91" s="77"/>
      <c r="K91" s="77"/>
      <c r="L91" s="77"/>
      <c r="M91" s="471"/>
      <c r="N91" s="77"/>
      <c r="O91" s="77"/>
    </row>
    <row r="92" spans="1:15" ht="15" x14ac:dyDescent="0.25">
      <c r="A92" s="99"/>
      <c r="B92" s="99"/>
      <c r="C92" s="99"/>
      <c r="D92" s="99"/>
      <c r="E92" s="99"/>
      <c r="F92" s="99"/>
      <c r="G92" s="99"/>
      <c r="H92" s="388"/>
      <c r="I92" s="99"/>
      <c r="J92" s="77"/>
      <c r="K92" s="77"/>
      <c r="L92" s="77"/>
      <c r="M92" s="471"/>
      <c r="N92" s="77"/>
      <c r="O92" s="77"/>
    </row>
    <row r="93" spans="1:15" ht="15" x14ac:dyDescent="0.25">
      <c r="A93" s="99"/>
      <c r="B93" s="99"/>
      <c r="C93" s="99"/>
      <c r="D93" s="99"/>
      <c r="E93" s="99"/>
      <c r="F93" s="99"/>
      <c r="G93" s="99"/>
      <c r="H93" s="388"/>
      <c r="I93" s="99"/>
      <c r="J93" s="77"/>
      <c r="K93" s="77"/>
      <c r="L93" s="77"/>
      <c r="M93" s="471"/>
      <c r="N93" s="77"/>
      <c r="O93" s="77"/>
    </row>
    <row r="94" spans="1:15" ht="15" x14ac:dyDescent="0.25">
      <c r="A94" s="99"/>
      <c r="B94" s="99"/>
      <c r="C94" s="99"/>
      <c r="D94" s="99"/>
      <c r="E94" s="99"/>
      <c r="F94" s="99"/>
      <c r="G94" s="99"/>
      <c r="H94" s="388"/>
      <c r="I94" s="99"/>
      <c r="J94" s="77"/>
      <c r="K94" s="77"/>
      <c r="L94" s="77"/>
      <c r="M94" s="471"/>
      <c r="N94" s="77"/>
      <c r="O94" s="77"/>
    </row>
    <row r="95" spans="1:15" ht="15" x14ac:dyDescent="0.25">
      <c r="A95" s="99"/>
      <c r="B95" s="99"/>
      <c r="C95" s="99"/>
      <c r="D95" s="99"/>
      <c r="E95" s="99"/>
      <c r="F95" s="99"/>
      <c r="G95" s="99"/>
      <c r="H95" s="388"/>
      <c r="I95" s="99"/>
      <c r="J95" s="77"/>
      <c r="K95" s="77"/>
      <c r="L95" s="77"/>
      <c r="M95" s="471"/>
      <c r="N95" s="77"/>
      <c r="O95" s="77"/>
    </row>
    <row r="96" spans="1:15" ht="15" x14ac:dyDescent="0.25">
      <c r="A96" s="99"/>
      <c r="B96" s="99"/>
      <c r="C96" s="99"/>
      <c r="D96" s="99"/>
      <c r="E96" s="99"/>
      <c r="F96" s="99"/>
      <c r="G96" s="99"/>
      <c r="H96" s="388"/>
      <c r="I96" s="99"/>
      <c r="J96" s="77"/>
      <c r="K96" s="77"/>
      <c r="L96" s="77"/>
      <c r="M96" s="471"/>
      <c r="N96" s="77"/>
      <c r="O96" s="77"/>
    </row>
    <row r="97" spans="1:15" ht="15" x14ac:dyDescent="0.25">
      <c r="A97" s="99"/>
      <c r="B97" s="99"/>
      <c r="C97" s="99"/>
      <c r="D97" s="99"/>
      <c r="E97" s="99"/>
      <c r="F97" s="99"/>
      <c r="G97" s="99"/>
      <c r="H97" s="388"/>
      <c r="I97" s="99"/>
      <c r="J97" s="77"/>
      <c r="K97" s="77"/>
      <c r="L97" s="77"/>
      <c r="M97" s="471"/>
      <c r="N97" s="77"/>
      <c r="O97" s="77"/>
    </row>
    <row r="98" spans="1:15" ht="15" x14ac:dyDescent="0.25">
      <c r="A98" s="99"/>
      <c r="B98" s="99"/>
      <c r="C98" s="99"/>
      <c r="D98" s="99"/>
      <c r="E98" s="99"/>
      <c r="F98" s="99"/>
      <c r="G98" s="99"/>
      <c r="H98" s="388"/>
      <c r="I98" s="99"/>
      <c r="J98" s="77"/>
      <c r="K98" s="77"/>
      <c r="L98" s="77"/>
      <c r="M98" s="471"/>
      <c r="N98" s="77"/>
      <c r="O98" s="77"/>
    </row>
    <row r="99" spans="1:15" ht="15" x14ac:dyDescent="0.25">
      <c r="A99" s="99"/>
      <c r="B99" s="99"/>
      <c r="C99" s="99"/>
      <c r="D99" s="99"/>
      <c r="E99" s="99"/>
      <c r="F99" s="99"/>
      <c r="G99" s="99"/>
      <c r="H99" s="388"/>
      <c r="I99" s="99"/>
      <c r="J99" s="77"/>
      <c r="K99" s="77"/>
      <c r="L99" s="77"/>
      <c r="M99" s="471"/>
      <c r="N99" s="77"/>
      <c r="O99" s="77"/>
    </row>
    <row r="100" spans="1:15" ht="15.6" thickBot="1" x14ac:dyDescent="0.3">
      <c r="A100" s="99"/>
      <c r="B100" s="99"/>
      <c r="C100" s="99"/>
      <c r="D100" s="99"/>
      <c r="E100" s="99"/>
      <c r="F100" s="99"/>
      <c r="G100" s="99"/>
      <c r="H100" s="388"/>
      <c r="I100" s="99"/>
      <c r="J100" s="77"/>
      <c r="K100" s="77"/>
      <c r="L100" s="77"/>
      <c r="M100" s="471"/>
      <c r="N100" s="77"/>
      <c r="O100" s="77"/>
    </row>
    <row r="101" spans="1:15" ht="15" x14ac:dyDescent="0.25">
      <c r="A101" s="894" t="s">
        <v>195</v>
      </c>
      <c r="B101" s="895"/>
      <c r="C101" s="895"/>
      <c r="D101" s="895"/>
      <c r="E101" s="895"/>
      <c r="F101" s="896"/>
      <c r="G101" s="99"/>
      <c r="H101" s="388"/>
      <c r="I101" s="99"/>
      <c r="J101" s="77"/>
      <c r="K101" s="77"/>
      <c r="L101" s="77"/>
      <c r="M101" s="471"/>
      <c r="N101" s="77"/>
      <c r="O101" s="77"/>
    </row>
    <row r="102" spans="1:15" ht="15.6" thickBot="1" x14ac:dyDescent="0.3">
      <c r="A102" s="897"/>
      <c r="B102" s="898"/>
      <c r="C102" s="898"/>
      <c r="D102" s="898"/>
      <c r="E102" s="898"/>
      <c r="F102" s="899"/>
      <c r="G102" s="99"/>
      <c r="H102" s="388"/>
      <c r="I102" s="99"/>
      <c r="J102" s="77"/>
      <c r="K102" s="77"/>
      <c r="L102" s="77"/>
      <c r="M102" s="471"/>
      <c r="N102" s="77"/>
      <c r="O102" s="77"/>
    </row>
    <row r="103" spans="1:15" ht="15" x14ac:dyDescent="0.25">
      <c r="A103" s="162" t="s">
        <v>5</v>
      </c>
      <c r="B103" s="161" t="s">
        <v>6</v>
      </c>
      <c r="C103" s="161" t="s">
        <v>13</v>
      </c>
      <c r="D103" s="161" t="s">
        <v>82</v>
      </c>
      <c r="E103" s="161" t="s">
        <v>115</v>
      </c>
      <c r="F103" s="163" t="s">
        <v>116</v>
      </c>
      <c r="G103" s="99"/>
      <c r="H103" s="388"/>
      <c r="I103" s="99"/>
      <c r="J103" s="77"/>
      <c r="K103" s="77"/>
      <c r="L103" s="77"/>
      <c r="M103" s="471"/>
      <c r="N103" s="77"/>
      <c r="O103" s="77"/>
    </row>
    <row r="104" spans="1:15" ht="15" x14ac:dyDescent="0.25">
      <c r="A104" s="396" t="s">
        <v>239</v>
      </c>
      <c r="B104" s="106"/>
      <c r="C104" s="106"/>
      <c r="D104" s="106"/>
      <c r="E104" s="106"/>
      <c r="F104" s="107"/>
      <c r="G104" s="99"/>
      <c r="H104" s="388"/>
      <c r="I104" s="99"/>
      <c r="J104" s="77"/>
      <c r="K104" s="77"/>
      <c r="L104" s="77"/>
      <c r="M104" s="471"/>
      <c r="N104" s="77"/>
      <c r="O104" s="77"/>
    </row>
    <row r="105" spans="1:15" ht="30" x14ac:dyDescent="0.25">
      <c r="A105" s="396" t="s">
        <v>91</v>
      </c>
      <c r="B105" s="106" t="s">
        <v>190</v>
      </c>
      <c r="C105" s="106" t="s">
        <v>18</v>
      </c>
      <c r="D105" s="106" t="s">
        <v>8</v>
      </c>
      <c r="E105" s="106" t="s">
        <v>36</v>
      </c>
      <c r="F105" s="107" t="s">
        <v>29</v>
      </c>
      <c r="G105" s="99"/>
      <c r="H105" s="388"/>
      <c r="I105" s="99"/>
      <c r="J105" s="77"/>
      <c r="K105" s="77"/>
      <c r="L105" s="77"/>
      <c r="M105" s="471"/>
      <c r="N105" s="77"/>
      <c r="O105" s="77"/>
    </row>
    <row r="106" spans="1:15" ht="30" x14ac:dyDescent="0.25">
      <c r="A106" s="397" t="s">
        <v>27</v>
      </c>
      <c r="B106" s="106" t="s">
        <v>192</v>
      </c>
      <c r="C106" s="106" t="s">
        <v>15</v>
      </c>
      <c r="D106" s="106" t="s">
        <v>84</v>
      </c>
      <c r="E106" s="106" t="s">
        <v>35</v>
      </c>
      <c r="F106" s="107" t="s">
        <v>28</v>
      </c>
      <c r="G106" s="99"/>
      <c r="H106" s="388"/>
      <c r="I106" s="99"/>
      <c r="J106" s="77"/>
      <c r="K106" s="77"/>
      <c r="L106" s="77"/>
      <c r="M106" s="471"/>
      <c r="N106" s="77"/>
      <c r="O106" s="77"/>
    </row>
    <row r="107" spans="1:15" ht="30" x14ac:dyDescent="0.25">
      <c r="A107" s="397" t="s">
        <v>125</v>
      </c>
      <c r="B107" s="106" t="s">
        <v>191</v>
      </c>
      <c r="C107" s="106" t="s">
        <v>16</v>
      </c>
      <c r="D107" s="106"/>
      <c r="E107" s="106" t="s">
        <v>46</v>
      </c>
      <c r="F107" s="107" t="s">
        <v>34</v>
      </c>
      <c r="G107" s="99"/>
      <c r="H107" s="388"/>
      <c r="I107" s="99"/>
      <c r="J107" s="77"/>
      <c r="K107" s="77"/>
      <c r="L107" s="77"/>
      <c r="M107" s="471"/>
      <c r="N107" s="77"/>
      <c r="O107" s="77"/>
    </row>
    <row r="108" spans="1:15" ht="15" x14ac:dyDescent="0.25">
      <c r="A108" s="396" t="s">
        <v>128</v>
      </c>
      <c r="B108" s="106" t="s">
        <v>193</v>
      </c>
      <c r="C108" s="106" t="s">
        <v>20</v>
      </c>
      <c r="D108" s="106"/>
      <c r="E108" s="106" t="s">
        <v>142</v>
      </c>
      <c r="F108" s="107" t="s">
        <v>142</v>
      </c>
      <c r="G108" s="99"/>
      <c r="H108" s="388"/>
      <c r="I108" s="99"/>
      <c r="J108" s="77"/>
      <c r="K108" s="77"/>
      <c r="L108" s="77"/>
      <c r="M108" s="471"/>
      <c r="N108" s="77"/>
      <c r="O108" s="77"/>
    </row>
    <row r="109" spans="1:15" ht="15" x14ac:dyDescent="0.25">
      <c r="A109" s="397" t="s">
        <v>92</v>
      </c>
      <c r="B109" s="106"/>
      <c r="C109" s="106" t="s">
        <v>19</v>
      </c>
      <c r="D109" s="106"/>
      <c r="E109" s="106" t="s">
        <v>37</v>
      </c>
      <c r="F109" s="107" t="s">
        <v>30</v>
      </c>
      <c r="G109" s="99"/>
      <c r="H109" s="388"/>
      <c r="I109" s="99"/>
      <c r="J109" s="77"/>
      <c r="K109" s="77"/>
      <c r="L109" s="77"/>
      <c r="M109" s="471"/>
      <c r="N109" s="77"/>
      <c r="O109" s="77"/>
    </row>
    <row r="110" spans="1:15" ht="30" x14ac:dyDescent="0.25">
      <c r="A110" s="396" t="s">
        <v>308</v>
      </c>
      <c r="B110" s="106"/>
      <c r="C110" s="106" t="s">
        <v>21</v>
      </c>
      <c r="D110" s="106"/>
      <c r="E110" s="106" t="s">
        <v>117</v>
      </c>
      <c r="F110" s="107" t="s">
        <v>121</v>
      </c>
      <c r="G110" s="99"/>
      <c r="H110" s="388"/>
      <c r="I110" s="99"/>
      <c r="J110" s="77"/>
      <c r="K110" s="77"/>
      <c r="L110" s="77"/>
      <c r="M110" s="471"/>
      <c r="N110" s="77"/>
      <c r="O110" s="77"/>
    </row>
    <row r="111" spans="1:15" ht="30" x14ac:dyDescent="0.25">
      <c r="A111" s="396" t="s">
        <v>309</v>
      </c>
      <c r="B111" s="106"/>
      <c r="C111" s="106" t="s">
        <v>14</v>
      </c>
      <c r="D111" s="106"/>
      <c r="E111" s="106" t="s">
        <v>42</v>
      </c>
      <c r="F111" s="107" t="s">
        <v>40</v>
      </c>
      <c r="G111" s="99"/>
      <c r="H111" s="388"/>
      <c r="I111" s="99"/>
      <c r="J111" s="77"/>
      <c r="K111" s="77"/>
      <c r="L111" s="77"/>
      <c r="M111" s="471"/>
      <c r="N111" s="77"/>
      <c r="O111" s="77"/>
    </row>
    <row r="112" spans="1:15" ht="30" x14ac:dyDescent="0.25">
      <c r="A112" s="396" t="s">
        <v>307</v>
      </c>
      <c r="B112" s="106"/>
      <c r="C112" s="106" t="s">
        <v>17</v>
      </c>
      <c r="D112" s="106"/>
      <c r="E112" s="106" t="s">
        <v>38</v>
      </c>
      <c r="F112" s="107" t="s">
        <v>31</v>
      </c>
      <c r="G112" s="99"/>
      <c r="H112" s="388"/>
      <c r="I112" s="99"/>
      <c r="J112" s="77"/>
      <c r="K112" s="77"/>
      <c r="L112" s="77"/>
      <c r="M112" s="471"/>
      <c r="N112" s="77"/>
      <c r="O112" s="77"/>
    </row>
    <row r="113" spans="1:15" ht="15" x14ac:dyDescent="0.25">
      <c r="A113" s="397" t="s">
        <v>4</v>
      </c>
      <c r="B113" s="106"/>
      <c r="C113" s="106"/>
      <c r="D113" s="106"/>
      <c r="E113" s="106" t="s">
        <v>41</v>
      </c>
      <c r="F113" s="107" t="s">
        <v>39</v>
      </c>
      <c r="G113" s="99"/>
      <c r="H113" s="388"/>
      <c r="I113" s="99"/>
      <c r="J113" s="77"/>
      <c r="K113" s="77"/>
      <c r="L113" s="77"/>
      <c r="M113" s="471"/>
      <c r="N113" s="77"/>
      <c r="O113" s="77"/>
    </row>
    <row r="114" spans="1:15" ht="15" x14ac:dyDescent="0.25">
      <c r="A114" s="397" t="s">
        <v>126</v>
      </c>
      <c r="B114" s="106"/>
      <c r="C114" s="106"/>
      <c r="D114" s="106"/>
      <c r="E114" s="106" t="s">
        <v>43</v>
      </c>
      <c r="F114" s="107" t="s">
        <v>120</v>
      </c>
      <c r="G114" s="99"/>
      <c r="H114" s="388"/>
      <c r="I114" s="99"/>
      <c r="J114" s="77"/>
      <c r="K114" s="77"/>
      <c r="L114" s="77"/>
      <c r="M114" s="471"/>
      <c r="N114" s="77"/>
      <c r="O114" s="77"/>
    </row>
    <row r="115" spans="1:15" x14ac:dyDescent="0.25">
      <c r="A115" s="2" t="s">
        <v>238</v>
      </c>
      <c r="B115" s="2"/>
      <c r="C115" s="2"/>
      <c r="D115" s="2"/>
      <c r="E115" s="2" t="s">
        <v>118</v>
      </c>
      <c r="F115" s="2" t="s">
        <v>122</v>
      </c>
      <c r="G115" s="2"/>
      <c r="I115" s="2"/>
    </row>
    <row r="116" spans="1:15" x14ac:dyDescent="0.25">
      <c r="A116" s="2" t="s">
        <v>183</v>
      </c>
      <c r="B116" s="2"/>
      <c r="C116" s="2"/>
      <c r="D116" s="2"/>
      <c r="E116" s="2" t="s">
        <v>45</v>
      </c>
      <c r="F116" s="2" t="s">
        <v>32</v>
      </c>
      <c r="G116" s="2"/>
      <c r="I116" s="2"/>
    </row>
    <row r="117" spans="1:15" x14ac:dyDescent="0.25">
      <c r="A117" s="2"/>
      <c r="B117" s="2"/>
      <c r="C117" s="2"/>
      <c r="D117" s="2"/>
      <c r="E117" s="2"/>
      <c r="F117" s="2"/>
      <c r="G117" s="2"/>
      <c r="I117" s="2"/>
    </row>
    <row r="118" spans="1:15" x14ac:dyDescent="0.25">
      <c r="A118" s="2"/>
      <c r="B118" s="2"/>
      <c r="C118" s="2"/>
      <c r="D118" s="2"/>
      <c r="E118" s="2"/>
      <c r="F118" s="2"/>
      <c r="G118" s="2"/>
      <c r="I118" s="2"/>
    </row>
    <row r="119" spans="1:15" x14ac:dyDescent="0.25">
      <c r="A119" s="2"/>
      <c r="B119" s="2"/>
      <c r="C119" s="2"/>
      <c r="D119" s="2"/>
      <c r="E119" s="2"/>
      <c r="F119" s="2"/>
      <c r="G119" s="2"/>
      <c r="I119" s="2"/>
    </row>
    <row r="120" spans="1:15" x14ac:dyDescent="0.25">
      <c r="A120" s="2"/>
      <c r="B120" s="2"/>
      <c r="C120" s="2"/>
      <c r="D120" s="2"/>
      <c r="E120" s="2"/>
      <c r="F120" s="2"/>
      <c r="G120" s="2"/>
      <c r="I120" s="2"/>
    </row>
    <row r="121" spans="1:15" x14ac:dyDescent="0.25">
      <c r="A121" s="2"/>
      <c r="B121" s="2"/>
      <c r="C121" s="2"/>
      <c r="D121" s="2"/>
      <c r="E121" s="2"/>
      <c r="F121" s="2"/>
      <c r="G121" s="2"/>
      <c r="I121" s="2"/>
    </row>
    <row r="122" spans="1:15" x14ac:dyDescent="0.25">
      <c r="A122" s="2"/>
      <c r="B122" s="2"/>
      <c r="C122" s="2"/>
      <c r="D122" s="2"/>
      <c r="E122" s="2"/>
      <c r="F122" s="2"/>
      <c r="G122" s="2"/>
      <c r="I122" s="2"/>
    </row>
    <row r="123" spans="1:15" x14ac:dyDescent="0.25">
      <c r="A123" s="2"/>
      <c r="B123" s="2"/>
      <c r="C123" s="2"/>
      <c r="D123" s="2"/>
      <c r="E123" s="2"/>
      <c r="F123" s="2"/>
      <c r="G123" s="2"/>
      <c r="I123" s="2"/>
    </row>
    <row r="124" spans="1:15" x14ac:dyDescent="0.25">
      <c r="A124" s="2"/>
      <c r="B124" s="2"/>
      <c r="C124" s="2"/>
      <c r="D124" s="2"/>
      <c r="E124" s="2"/>
      <c r="F124" s="2"/>
      <c r="G124" s="2"/>
      <c r="I124" s="2"/>
    </row>
    <row r="125" spans="1:15" x14ac:dyDescent="0.25">
      <c r="A125" s="2"/>
      <c r="B125" s="2"/>
      <c r="C125" s="2"/>
      <c r="D125" s="2"/>
      <c r="E125" s="2"/>
      <c r="F125" s="2"/>
      <c r="G125" s="2"/>
      <c r="I125" s="2"/>
    </row>
    <row r="126" spans="1:15" x14ac:dyDescent="0.25">
      <c r="A126" s="2"/>
      <c r="B126" s="2"/>
      <c r="C126" s="2"/>
      <c r="D126" s="2"/>
      <c r="E126" s="2"/>
      <c r="F126" s="2"/>
      <c r="G126" s="2"/>
      <c r="I126" s="2"/>
    </row>
    <row r="127" spans="1:15" x14ac:dyDescent="0.25">
      <c r="A127" s="2"/>
      <c r="B127" s="2"/>
      <c r="C127" s="2"/>
      <c r="D127" s="2"/>
      <c r="E127" s="2"/>
      <c r="F127" s="2"/>
      <c r="G127" s="2"/>
      <c r="I127" s="2"/>
    </row>
    <row r="128" spans="1:15" x14ac:dyDescent="0.25">
      <c r="A128" s="2"/>
      <c r="B128" s="2"/>
      <c r="C128" s="2"/>
      <c r="D128" s="2"/>
      <c r="E128" s="2"/>
      <c r="F128" s="2"/>
      <c r="G128" s="2"/>
      <c r="I128" s="2"/>
    </row>
    <row r="129" spans="1:9" x14ac:dyDescent="0.25">
      <c r="A129" s="2"/>
      <c r="B129" s="2"/>
      <c r="C129" s="2"/>
      <c r="D129" s="2"/>
      <c r="E129" s="2"/>
      <c r="F129" s="2"/>
      <c r="G129" s="2"/>
      <c r="I129" s="2"/>
    </row>
    <row r="130" spans="1:9" x14ac:dyDescent="0.25">
      <c r="A130" s="2"/>
      <c r="B130" s="2"/>
      <c r="C130" s="2"/>
      <c r="D130" s="2"/>
      <c r="E130" s="2"/>
      <c r="F130" s="2"/>
      <c r="G130" s="2"/>
      <c r="I130" s="2"/>
    </row>
    <row r="131" spans="1:9" x14ac:dyDescent="0.25">
      <c r="A131" s="2"/>
      <c r="B131" s="2"/>
      <c r="C131" s="2"/>
      <c r="D131" s="2"/>
      <c r="E131" s="2"/>
      <c r="F131" s="2"/>
      <c r="G131" s="2"/>
      <c r="I131" s="2"/>
    </row>
    <row r="132" spans="1:9" x14ac:dyDescent="0.25">
      <c r="A132" s="2"/>
      <c r="B132" s="2"/>
      <c r="C132" s="2"/>
      <c r="D132" s="2"/>
      <c r="E132" s="2"/>
      <c r="F132" s="2"/>
      <c r="G132" s="2"/>
      <c r="I132" s="2"/>
    </row>
    <row r="133" spans="1:9" x14ac:dyDescent="0.25">
      <c r="A133" s="2"/>
      <c r="B133" s="2"/>
      <c r="C133" s="2"/>
      <c r="D133" s="2"/>
      <c r="E133" s="2"/>
      <c r="F133" s="2"/>
      <c r="G133" s="2"/>
      <c r="I133" s="2"/>
    </row>
    <row r="134" spans="1:9" x14ac:dyDescent="0.25">
      <c r="A134" s="2"/>
      <c r="B134" s="2"/>
      <c r="C134" s="2"/>
      <c r="D134" s="2"/>
      <c r="E134" s="2"/>
      <c r="F134" s="2"/>
      <c r="G134" s="2"/>
      <c r="I134" s="2"/>
    </row>
    <row r="135" spans="1:9" x14ac:dyDescent="0.25">
      <c r="A135" s="2"/>
      <c r="B135" s="2"/>
      <c r="C135" s="2"/>
      <c r="D135" s="2"/>
      <c r="E135" s="2"/>
      <c r="F135" s="2"/>
      <c r="G135" s="2"/>
      <c r="I135" s="2"/>
    </row>
  </sheetData>
  <mergeCells count="7">
    <mergeCell ref="A101:F102"/>
    <mergeCell ref="A1:O1"/>
    <mergeCell ref="A3:O3"/>
    <mergeCell ref="A11:O11"/>
    <mergeCell ref="A35:O35"/>
    <mergeCell ref="A47:O47"/>
    <mergeCell ref="A48:F48"/>
  </mergeCells>
  <dataValidations count="7">
    <dataValidation type="list" allowBlank="1" showInputMessage="1" showErrorMessage="1" sqref="E40 C39:D46" xr:uid="{00000000-0002-0000-1D00-000000000000}">
      <formula1>#REF!</formula1>
    </dataValidation>
    <dataValidation type="list" allowBlank="1" showInputMessage="1" showErrorMessage="1" sqref="C22:D31 C14:D18 C37:D37 C5:D10" xr:uid="{00000000-0002-0000-1D00-000001000000}">
      <formula1>$A$110:$A$122</formula1>
    </dataValidation>
    <dataValidation type="list" allowBlank="1" showInputMessage="1" showErrorMessage="1" sqref="F5:F10 F22:F31 F37 F14:F18" xr:uid="{00000000-0002-0000-1D00-000002000000}">
      <formula1>$E$110:$E$124</formula1>
    </dataValidation>
    <dataValidation type="list" allowBlank="1" showInputMessage="1" showErrorMessage="1" sqref="E5:E10 E22:E31 E37 E14:E18" xr:uid="{00000000-0002-0000-1D00-000003000000}">
      <formula1>$F$110:$F$124</formula1>
    </dataValidation>
    <dataValidation type="list" allowBlank="1" showInputMessage="1" showErrorMessage="1" sqref="B5:B10 B22:B31 B14:B18 B37" xr:uid="{00000000-0002-0000-1D00-000004000000}">
      <formula1>$B$110:$B$114</formula1>
    </dataValidation>
    <dataValidation type="list" allowBlank="1" showInputMessage="1" showErrorMessage="1" sqref="A5:A10 A37 A14:A18 A22:A31" xr:uid="{00000000-0002-0000-1D00-000005000000}">
      <formula1>$D$110:$D$112</formula1>
    </dataValidation>
    <dataValidation type="list" allowBlank="1" showInputMessage="1" showErrorMessage="1" sqref="G5:G10 G14:G18 G37 G22:G31" xr:uid="{00000000-0002-0000-1D00-000006000000}">
      <formula1>$C$110:$C$118</formula1>
    </dataValidation>
  </dataValidations>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0">
    <tabColor rgb="FFFF0000"/>
  </sheetPr>
  <dimension ref="A1:EA117"/>
  <sheetViews>
    <sheetView topLeftCell="C16" zoomScale="55" zoomScaleNormal="55" workbookViewId="0">
      <selection activeCell="K6" sqref="K6"/>
    </sheetView>
  </sheetViews>
  <sheetFormatPr defaultColWidth="8.77734375" defaultRowHeight="13.2" x14ac:dyDescent="0.25"/>
  <cols>
    <col min="1" max="1" width="31.77734375" style="2" customWidth="1"/>
    <col min="2" max="7" width="26.44140625" style="2" customWidth="1"/>
    <col min="8" max="8" width="26.44140625" style="3" customWidth="1"/>
    <col min="9" max="9" width="26.44140625" style="2" customWidth="1"/>
    <col min="10" max="15" width="26.44140625" style="405" customWidth="1"/>
    <col min="16" max="16" width="16.44140625" customWidth="1"/>
  </cols>
  <sheetData>
    <row r="1" spans="1:131" ht="35.25" customHeight="1" thickBot="1" x14ac:dyDescent="0.3">
      <c r="A1" s="900" t="s">
        <v>310</v>
      </c>
      <c r="B1" s="900"/>
      <c r="C1" s="900"/>
      <c r="D1" s="900"/>
      <c r="E1" s="900"/>
      <c r="F1" s="900"/>
      <c r="G1" s="900"/>
      <c r="H1" s="900"/>
      <c r="I1" s="900"/>
      <c r="J1" s="900"/>
      <c r="K1" s="900"/>
      <c r="L1" s="900"/>
      <c r="M1" s="900"/>
      <c r="N1" s="900"/>
      <c r="O1" s="900"/>
    </row>
    <row r="2" spans="1:131" ht="35.25" customHeight="1" x14ac:dyDescent="0.25">
      <c r="A2" s="349" t="s">
        <v>188</v>
      </c>
      <c r="B2" s="175">
        <v>41152</v>
      </c>
      <c r="C2" s="349"/>
      <c r="D2" s="349"/>
      <c r="E2" s="439"/>
      <c r="F2" s="439"/>
      <c r="G2" s="349"/>
      <c r="H2" s="381"/>
      <c r="I2" s="349"/>
      <c r="J2" s="399"/>
      <c r="K2" s="399"/>
      <c r="L2" s="399"/>
      <c r="M2" s="399"/>
      <c r="N2" s="399"/>
      <c r="O2" s="399"/>
    </row>
    <row r="3" spans="1:131" ht="35.25" customHeight="1" x14ac:dyDescent="0.25">
      <c r="A3" s="901" t="s">
        <v>204</v>
      </c>
      <c r="B3" s="902"/>
      <c r="C3" s="902"/>
      <c r="D3" s="902"/>
      <c r="E3" s="902"/>
      <c r="F3" s="902"/>
      <c r="G3" s="902"/>
      <c r="H3" s="902"/>
      <c r="I3" s="902"/>
      <c r="J3" s="902"/>
      <c r="K3" s="902"/>
      <c r="L3" s="902"/>
      <c r="M3" s="902"/>
      <c r="N3" s="902"/>
      <c r="O3" s="903"/>
    </row>
    <row r="4" spans="1:131" ht="67.5" customHeight="1" x14ac:dyDescent="0.25">
      <c r="A4" s="176" t="s">
        <v>89</v>
      </c>
      <c r="B4" s="176" t="s">
        <v>90</v>
      </c>
      <c r="C4" s="177" t="s">
        <v>0</v>
      </c>
      <c r="D4" s="177" t="s">
        <v>124</v>
      </c>
      <c r="E4" s="176" t="s">
        <v>143</v>
      </c>
      <c r="F4" s="176" t="s">
        <v>144</v>
      </c>
      <c r="G4" s="176" t="s">
        <v>13</v>
      </c>
      <c r="H4" s="382" t="s">
        <v>88</v>
      </c>
      <c r="I4" s="176" t="s">
        <v>12</v>
      </c>
      <c r="J4" s="400" t="s">
        <v>158</v>
      </c>
      <c r="K4" s="400" t="s">
        <v>148</v>
      </c>
      <c r="L4" s="400" t="s">
        <v>153</v>
      </c>
      <c r="M4" s="400" t="s">
        <v>104</v>
      </c>
      <c r="N4" s="400" t="s">
        <v>154</v>
      </c>
      <c r="O4" s="400" t="s">
        <v>205</v>
      </c>
    </row>
    <row r="5" spans="1:131" ht="35.25" customHeight="1" x14ac:dyDescent="0.25">
      <c r="A5" s="322" t="s">
        <v>84</v>
      </c>
      <c r="B5" s="322" t="s">
        <v>3</v>
      </c>
      <c r="C5" s="322" t="s">
        <v>307</v>
      </c>
      <c r="D5" s="322" t="s">
        <v>307</v>
      </c>
      <c r="E5" s="327" t="s">
        <v>120</v>
      </c>
      <c r="F5" s="401" t="s">
        <v>44</v>
      </c>
      <c r="G5" s="322" t="s">
        <v>14</v>
      </c>
      <c r="H5" s="85">
        <v>44423</v>
      </c>
      <c r="I5" s="322" t="s">
        <v>23</v>
      </c>
      <c r="J5" s="173">
        <v>143.66999999999999</v>
      </c>
      <c r="K5" s="173">
        <v>118.16</v>
      </c>
      <c r="L5" s="288">
        <f t="shared" ref="L5:L8" si="0">N5-M5</f>
        <v>19.236151249999999</v>
      </c>
      <c r="M5" s="288">
        <f t="shared" ref="M5:N8" si="1">-DZ5/1000000</f>
        <v>0.19065057999999999</v>
      </c>
      <c r="N5" s="288">
        <f t="shared" si="1"/>
        <v>19.426801829999999</v>
      </c>
      <c r="O5" s="288"/>
      <c r="DZ5">
        <v>-190650.58</v>
      </c>
      <c r="EA5">
        <v>-19426801.829999998</v>
      </c>
    </row>
    <row r="6" spans="1:131" ht="35.25" customHeight="1" x14ac:dyDescent="0.25">
      <c r="A6" s="328" t="s">
        <v>84</v>
      </c>
      <c r="B6" s="328" t="s">
        <v>3</v>
      </c>
      <c r="C6" s="328" t="s">
        <v>307</v>
      </c>
      <c r="D6" s="328" t="s">
        <v>307</v>
      </c>
      <c r="E6" s="329" t="s">
        <v>120</v>
      </c>
      <c r="F6" s="402" t="s">
        <v>44</v>
      </c>
      <c r="G6" s="328" t="s">
        <v>14</v>
      </c>
      <c r="H6" s="93">
        <v>44576</v>
      </c>
      <c r="I6" s="328" t="s">
        <v>24</v>
      </c>
      <c r="J6" s="174">
        <v>27.4</v>
      </c>
      <c r="K6" s="174">
        <f>'Jul12'!K6</f>
        <v>26.9575</v>
      </c>
      <c r="L6" s="289">
        <f t="shared" si="0"/>
        <v>4.9409522800000003</v>
      </c>
      <c r="M6" s="289">
        <f t="shared" si="1"/>
        <v>8.8188149999999993E-2</v>
      </c>
      <c r="N6" s="289">
        <f t="shared" si="1"/>
        <v>5.02914043</v>
      </c>
      <c r="O6" s="289"/>
      <c r="DZ6">
        <v>-88188.15</v>
      </c>
      <c r="EA6">
        <v>-5029140.43</v>
      </c>
    </row>
    <row r="7" spans="1:131" ht="35.25" customHeight="1" x14ac:dyDescent="0.25">
      <c r="A7" s="322" t="s">
        <v>84</v>
      </c>
      <c r="B7" s="322" t="s">
        <v>3</v>
      </c>
      <c r="C7" s="322" t="s">
        <v>308</v>
      </c>
      <c r="D7" s="322" t="s">
        <v>308</v>
      </c>
      <c r="E7" s="327" t="s">
        <v>39</v>
      </c>
      <c r="F7" s="401" t="s">
        <v>38</v>
      </c>
      <c r="G7" s="322" t="s">
        <v>14</v>
      </c>
      <c r="H7" s="85">
        <v>44576</v>
      </c>
      <c r="I7" s="322" t="s">
        <v>24</v>
      </c>
      <c r="J7" s="173">
        <v>26.85</v>
      </c>
      <c r="K7" s="173">
        <f>'Jul12'!K7</f>
        <v>26.47</v>
      </c>
      <c r="L7" s="288">
        <f t="shared" si="0"/>
        <v>4.8444040699999995</v>
      </c>
      <c r="M7" s="288">
        <f t="shared" si="1"/>
        <v>8.6601529999999996E-2</v>
      </c>
      <c r="N7" s="288">
        <f t="shared" si="1"/>
        <v>4.9310055999999998</v>
      </c>
      <c r="O7" s="288"/>
      <c r="DZ7">
        <v>-86601.53</v>
      </c>
      <c r="EA7">
        <v>-4931005.5999999996</v>
      </c>
    </row>
    <row r="8" spans="1:131" ht="35.25" customHeight="1" x14ac:dyDescent="0.25">
      <c r="A8" s="328" t="s">
        <v>84</v>
      </c>
      <c r="B8" s="328" t="s">
        <v>3</v>
      </c>
      <c r="C8" s="328" t="s">
        <v>309</v>
      </c>
      <c r="D8" s="328" t="s">
        <v>125</v>
      </c>
      <c r="E8" s="329" t="s">
        <v>39</v>
      </c>
      <c r="F8" s="402" t="s">
        <v>42</v>
      </c>
      <c r="G8" s="328" t="s">
        <v>14</v>
      </c>
      <c r="H8" s="93">
        <v>46296</v>
      </c>
      <c r="I8" s="328" t="s">
        <v>25</v>
      </c>
      <c r="J8" s="174">
        <v>40.880000000000003</v>
      </c>
      <c r="K8" s="174">
        <f>'Jul12'!K8</f>
        <v>39.75</v>
      </c>
      <c r="L8" s="289">
        <f t="shared" si="0"/>
        <v>7.2908858199999997</v>
      </c>
      <c r="M8" s="289">
        <f t="shared" si="1"/>
        <v>8.941665E-2</v>
      </c>
      <c r="N8" s="289">
        <f t="shared" si="1"/>
        <v>7.3803024700000002</v>
      </c>
      <c r="O8" s="289"/>
      <c r="DZ8">
        <v>-89416.65</v>
      </c>
      <c r="EA8">
        <v>-7380302.4699999997</v>
      </c>
    </row>
    <row r="9" spans="1:131" ht="35.25" customHeight="1" x14ac:dyDescent="0.25">
      <c r="A9" s="111"/>
      <c r="B9" s="111"/>
      <c r="C9" s="111"/>
      <c r="D9" s="111"/>
      <c r="E9" s="123"/>
      <c r="F9" s="111"/>
      <c r="G9" s="111"/>
      <c r="H9" s="114"/>
      <c r="I9" s="111"/>
      <c r="J9" s="189"/>
      <c r="K9" s="189"/>
      <c r="L9" s="189"/>
      <c r="M9" s="189"/>
      <c r="N9" s="190"/>
      <c r="O9" s="190"/>
    </row>
    <row r="10" spans="1:131" ht="35.25" customHeight="1" x14ac:dyDescent="0.25">
      <c r="A10" s="328"/>
      <c r="B10" s="328"/>
      <c r="C10" s="328"/>
      <c r="D10" s="328"/>
      <c r="E10" s="329"/>
      <c r="F10" s="328"/>
      <c r="G10" s="328"/>
      <c r="H10" s="93"/>
      <c r="I10" s="328"/>
      <c r="J10" s="174"/>
      <c r="K10" s="174"/>
      <c r="L10" s="174"/>
      <c r="M10" s="174"/>
      <c r="N10" s="289"/>
      <c r="O10" s="289"/>
    </row>
    <row r="11" spans="1:131" ht="35.25" customHeight="1" x14ac:dyDescent="0.25">
      <c r="A11" s="901" t="s">
        <v>203</v>
      </c>
      <c r="B11" s="902"/>
      <c r="C11" s="902"/>
      <c r="D11" s="902"/>
      <c r="E11" s="902"/>
      <c r="F11" s="902"/>
      <c r="G11" s="902"/>
      <c r="H11" s="902"/>
      <c r="I11" s="902"/>
      <c r="J11" s="902"/>
      <c r="K11" s="902"/>
      <c r="L11" s="902"/>
      <c r="M11" s="902"/>
      <c r="N11" s="902"/>
      <c r="O11" s="903"/>
    </row>
    <row r="12" spans="1:131" ht="64.5" customHeight="1" x14ac:dyDescent="0.25">
      <c r="A12" s="176" t="s">
        <v>89</v>
      </c>
      <c r="B12" s="176" t="s">
        <v>90</v>
      </c>
      <c r="C12" s="177" t="s">
        <v>0</v>
      </c>
      <c r="D12" s="180" t="s">
        <v>124</v>
      </c>
      <c r="E12" s="176" t="s">
        <v>143</v>
      </c>
      <c r="F12" s="176" t="s">
        <v>144</v>
      </c>
      <c r="G12" s="176" t="s">
        <v>13</v>
      </c>
      <c r="H12" s="382" t="s">
        <v>88</v>
      </c>
      <c r="I12" s="176" t="s">
        <v>12</v>
      </c>
      <c r="J12" s="400" t="s">
        <v>150</v>
      </c>
      <c r="K12" s="400" t="s">
        <v>151</v>
      </c>
      <c r="L12" s="400" t="s">
        <v>157</v>
      </c>
      <c r="M12" s="400" t="s">
        <v>149</v>
      </c>
      <c r="N12" s="400" t="s">
        <v>154</v>
      </c>
      <c r="O12" s="400" t="s">
        <v>205</v>
      </c>
    </row>
    <row r="13" spans="1:131" ht="35.25" customHeight="1" x14ac:dyDescent="0.25">
      <c r="A13" s="184" t="s">
        <v>197</v>
      </c>
      <c r="B13" s="184"/>
      <c r="C13" s="185"/>
      <c r="D13" s="185"/>
      <c r="E13" s="184"/>
      <c r="F13" s="184"/>
      <c r="G13" s="184"/>
      <c r="H13" s="383"/>
      <c r="I13" s="184"/>
      <c r="J13" s="403"/>
      <c r="K13" s="403"/>
      <c r="L13" s="403"/>
      <c r="M13" s="403"/>
      <c r="N13" s="403"/>
      <c r="O13" s="404"/>
    </row>
    <row r="14" spans="1:131" ht="35.25" customHeight="1" x14ac:dyDescent="0.25">
      <c r="A14" s="417" t="s">
        <v>84</v>
      </c>
      <c r="B14" s="418" t="s">
        <v>7</v>
      </c>
      <c r="C14" s="418" t="s">
        <v>239</v>
      </c>
      <c r="D14" s="418" t="s">
        <v>238</v>
      </c>
      <c r="E14" s="328" t="s">
        <v>32</v>
      </c>
      <c r="F14" s="328" t="s">
        <v>118</v>
      </c>
      <c r="G14" s="418" t="s">
        <v>22</v>
      </c>
      <c r="H14" s="419">
        <v>41090</v>
      </c>
      <c r="I14" s="418" t="s">
        <v>176</v>
      </c>
      <c r="J14" s="426">
        <v>0</v>
      </c>
      <c r="K14" s="426" t="s">
        <v>10</v>
      </c>
      <c r="L14" s="427">
        <v>0</v>
      </c>
      <c r="M14" s="427"/>
      <c r="N14" s="427"/>
      <c r="O14" s="427"/>
    </row>
    <row r="15" spans="1:131" ht="35.25" customHeight="1" x14ac:dyDescent="0.25">
      <c r="A15" s="420" t="s">
        <v>8</v>
      </c>
      <c r="B15" s="421" t="s">
        <v>7</v>
      </c>
      <c r="C15" s="421" t="s">
        <v>239</v>
      </c>
      <c r="D15" s="421" t="s">
        <v>238</v>
      </c>
      <c r="E15" s="322" t="s">
        <v>32</v>
      </c>
      <c r="F15" s="322" t="s">
        <v>118</v>
      </c>
      <c r="G15" s="421" t="s">
        <v>22</v>
      </c>
      <c r="H15" s="422">
        <v>41455</v>
      </c>
      <c r="I15" s="421" t="s">
        <v>131</v>
      </c>
      <c r="J15" s="428">
        <v>26.61</v>
      </c>
      <c r="K15" s="428">
        <v>-3.28</v>
      </c>
      <c r="L15" s="429">
        <v>23.33</v>
      </c>
      <c r="M15" s="430"/>
      <c r="N15" s="430"/>
      <c r="O15" s="430"/>
    </row>
    <row r="16" spans="1:131" ht="35.25" customHeight="1" x14ac:dyDescent="0.25">
      <c r="A16" s="417" t="s">
        <v>8</v>
      </c>
      <c r="B16" s="418" t="s">
        <v>193</v>
      </c>
      <c r="C16" s="418" t="s">
        <v>239</v>
      </c>
      <c r="D16" s="418" t="s">
        <v>238</v>
      </c>
      <c r="E16" s="328" t="s">
        <v>32</v>
      </c>
      <c r="F16" s="328" t="s">
        <v>118</v>
      </c>
      <c r="G16" s="418" t="s">
        <v>22</v>
      </c>
      <c r="H16" s="419">
        <v>41820</v>
      </c>
      <c r="I16" s="418" t="s">
        <v>132</v>
      </c>
      <c r="J16" s="426">
        <v>17.18</v>
      </c>
      <c r="K16" s="426"/>
      <c r="L16" s="431">
        <v>17.18</v>
      </c>
      <c r="M16" s="427"/>
      <c r="N16" s="427"/>
      <c r="O16" s="427"/>
    </row>
    <row r="17" spans="1:15" ht="35.25" customHeight="1" x14ac:dyDescent="0.25">
      <c r="A17" s="420" t="s">
        <v>8</v>
      </c>
      <c r="B17" s="421" t="s">
        <v>193</v>
      </c>
      <c r="C17" s="421" t="s">
        <v>239</v>
      </c>
      <c r="D17" s="421" t="s">
        <v>238</v>
      </c>
      <c r="E17" s="322" t="s">
        <v>32</v>
      </c>
      <c r="F17" s="322" t="s">
        <v>118</v>
      </c>
      <c r="G17" s="418" t="s">
        <v>22</v>
      </c>
      <c r="H17" s="422">
        <v>42185</v>
      </c>
      <c r="I17" s="421" t="s">
        <v>133</v>
      </c>
      <c r="J17" s="428">
        <v>12.47</v>
      </c>
      <c r="K17" s="428"/>
      <c r="L17" s="429">
        <v>12.47</v>
      </c>
      <c r="M17" s="430"/>
      <c r="N17" s="430"/>
      <c r="O17" s="430"/>
    </row>
    <row r="18" spans="1:15" ht="35.25" customHeight="1" x14ac:dyDescent="0.25">
      <c r="A18" s="417" t="s">
        <v>8</v>
      </c>
      <c r="B18" s="418" t="s">
        <v>193</v>
      </c>
      <c r="C18" s="418" t="s">
        <v>239</v>
      </c>
      <c r="D18" s="418" t="s">
        <v>238</v>
      </c>
      <c r="E18" s="328" t="s">
        <v>32</v>
      </c>
      <c r="F18" s="328" t="s">
        <v>118</v>
      </c>
      <c r="G18" s="418" t="s">
        <v>22</v>
      </c>
      <c r="H18" s="419">
        <v>42551</v>
      </c>
      <c r="I18" s="418" t="s">
        <v>300</v>
      </c>
      <c r="J18" s="426">
        <v>0.1</v>
      </c>
      <c r="K18" s="426"/>
      <c r="L18" s="432">
        <v>0.1</v>
      </c>
      <c r="M18" s="427"/>
      <c r="N18" s="427"/>
      <c r="O18" s="427"/>
    </row>
    <row r="19" spans="1:15" ht="35.25" customHeight="1" x14ac:dyDescent="0.25">
      <c r="A19" s="423" t="s">
        <v>295</v>
      </c>
      <c r="B19" s="423"/>
      <c r="C19" s="423"/>
      <c r="D19" s="423"/>
      <c r="E19" s="424"/>
      <c r="F19" s="423"/>
      <c r="G19" s="423"/>
      <c r="H19" s="425" t="s">
        <v>206</v>
      </c>
      <c r="I19" s="423"/>
      <c r="J19" s="433">
        <f>SUM(J14:J18)</f>
        <v>56.36</v>
      </c>
      <c r="K19" s="433">
        <f t="shared" ref="K19:L19" si="2">SUM(K14:K18)</f>
        <v>-3.28</v>
      </c>
      <c r="L19" s="433">
        <f t="shared" si="2"/>
        <v>53.08</v>
      </c>
      <c r="M19" s="433">
        <f>+L19-N19</f>
        <v>39.347946999999998</v>
      </c>
      <c r="N19" s="433">
        <v>13.732053000000001</v>
      </c>
      <c r="O19" s="433">
        <v>35</v>
      </c>
    </row>
    <row r="20" spans="1:15" ht="35.25" customHeight="1" x14ac:dyDescent="0.25">
      <c r="A20" s="181"/>
      <c r="B20" s="181"/>
      <c r="C20" s="181"/>
      <c r="D20" s="181"/>
      <c r="E20" s="182"/>
      <c r="F20" s="181"/>
      <c r="G20" s="181"/>
      <c r="H20" s="183"/>
      <c r="I20" s="181"/>
      <c r="J20" s="290"/>
      <c r="K20" s="290"/>
      <c r="L20" s="290"/>
      <c r="M20" s="290"/>
      <c r="N20" s="290"/>
      <c r="O20" s="290"/>
    </row>
    <row r="21" spans="1:15" ht="35.25" customHeight="1" x14ac:dyDescent="0.25">
      <c r="A21" s="184" t="s">
        <v>198</v>
      </c>
      <c r="B21" s="184"/>
      <c r="C21" s="185"/>
      <c r="D21" s="185"/>
      <c r="E21" s="184"/>
      <c r="F21" s="184"/>
      <c r="G21" s="184"/>
      <c r="H21" s="383"/>
      <c r="I21" s="184"/>
      <c r="J21" s="434"/>
      <c r="K21" s="434"/>
      <c r="L21" s="434"/>
      <c r="M21" s="434"/>
      <c r="N21" s="434"/>
      <c r="O21" s="435"/>
    </row>
    <row r="22" spans="1:15" ht="35.25" customHeight="1" x14ac:dyDescent="0.25">
      <c r="A22" s="328" t="s">
        <v>8</v>
      </c>
      <c r="B22" s="328" t="s">
        <v>7</v>
      </c>
      <c r="C22" s="328" t="s">
        <v>27</v>
      </c>
      <c r="D22" s="328" t="s">
        <v>127</v>
      </c>
      <c r="E22" s="328" t="s">
        <v>33</v>
      </c>
      <c r="F22" s="328" t="s">
        <v>45</v>
      </c>
      <c r="G22" s="328" t="s">
        <v>22</v>
      </c>
      <c r="H22" s="385">
        <v>41090</v>
      </c>
      <c r="I22" s="328" t="s">
        <v>135</v>
      </c>
      <c r="J22" s="426">
        <v>0</v>
      </c>
      <c r="K22" s="426">
        <v>0</v>
      </c>
      <c r="L22" s="426">
        <v>0</v>
      </c>
      <c r="M22" s="426"/>
      <c r="N22" s="426"/>
      <c r="O22" s="426"/>
    </row>
    <row r="23" spans="1:15" ht="35.25" customHeight="1" x14ac:dyDescent="0.25">
      <c r="A23" s="322" t="s">
        <v>8</v>
      </c>
      <c r="B23" s="322" t="s">
        <v>7</v>
      </c>
      <c r="C23" s="322" t="s">
        <v>92</v>
      </c>
      <c r="D23" s="322" t="s">
        <v>128</v>
      </c>
      <c r="E23" s="322" t="s">
        <v>33</v>
      </c>
      <c r="F23" s="322" t="s">
        <v>45</v>
      </c>
      <c r="G23" s="322" t="s">
        <v>22</v>
      </c>
      <c r="H23" s="386">
        <v>41090</v>
      </c>
      <c r="I23" s="322" t="s">
        <v>136</v>
      </c>
      <c r="J23" s="428">
        <v>0</v>
      </c>
      <c r="K23" s="428">
        <v>0</v>
      </c>
      <c r="L23" s="428">
        <v>0</v>
      </c>
      <c r="M23" s="428"/>
      <c r="N23" s="428"/>
      <c r="O23" s="428"/>
    </row>
    <row r="24" spans="1:15" ht="35.25" customHeight="1" x14ac:dyDescent="0.25">
      <c r="A24" s="328" t="s">
        <v>8</v>
      </c>
      <c r="B24" s="328" t="s">
        <v>7</v>
      </c>
      <c r="C24" s="328" t="s">
        <v>27</v>
      </c>
      <c r="D24" s="328" t="s">
        <v>127</v>
      </c>
      <c r="E24" s="328" t="s">
        <v>33</v>
      </c>
      <c r="F24" s="328" t="s">
        <v>45</v>
      </c>
      <c r="G24" s="328" t="s">
        <v>22</v>
      </c>
      <c r="H24" s="385">
        <v>41455</v>
      </c>
      <c r="I24" s="328" t="s">
        <v>137</v>
      </c>
      <c r="J24" s="426">
        <v>5.2490547599999999</v>
      </c>
      <c r="K24" s="426">
        <v>-1.4340423999999998</v>
      </c>
      <c r="L24" s="426">
        <v>3.8150123599999999</v>
      </c>
      <c r="M24" s="426"/>
      <c r="N24" s="426"/>
      <c r="O24" s="426"/>
    </row>
    <row r="25" spans="1:15" ht="35.25" customHeight="1" x14ac:dyDescent="0.25">
      <c r="A25" s="322" t="s">
        <v>84</v>
      </c>
      <c r="B25" s="322" t="s">
        <v>7</v>
      </c>
      <c r="C25" s="322" t="s">
        <v>92</v>
      </c>
      <c r="D25" s="322" t="s">
        <v>128</v>
      </c>
      <c r="E25" s="322" t="s">
        <v>33</v>
      </c>
      <c r="F25" s="322" t="s">
        <v>45</v>
      </c>
      <c r="G25" s="322" t="s">
        <v>22</v>
      </c>
      <c r="H25" s="386">
        <v>41455</v>
      </c>
      <c r="I25" s="322" t="s">
        <v>137</v>
      </c>
      <c r="J25" s="428">
        <v>2.6344919999999997E-2</v>
      </c>
      <c r="K25" s="428">
        <v>-1.1789959999999999E-2</v>
      </c>
      <c r="L25" s="428">
        <v>1.4554959999999999E-2</v>
      </c>
      <c r="M25" s="428"/>
      <c r="N25" s="428"/>
      <c r="O25" s="428"/>
    </row>
    <row r="26" spans="1:15" ht="35.25" customHeight="1" x14ac:dyDescent="0.25">
      <c r="A26" s="328" t="s">
        <v>84</v>
      </c>
      <c r="B26" s="328" t="s">
        <v>7</v>
      </c>
      <c r="C26" s="328" t="s">
        <v>27</v>
      </c>
      <c r="D26" s="328" t="s">
        <v>127</v>
      </c>
      <c r="E26" s="328" t="s">
        <v>33</v>
      </c>
      <c r="F26" s="328" t="s">
        <v>45</v>
      </c>
      <c r="G26" s="328" t="s">
        <v>22</v>
      </c>
      <c r="H26" s="385">
        <v>41820</v>
      </c>
      <c r="I26" s="328" t="s">
        <v>138</v>
      </c>
      <c r="J26" s="426">
        <v>0.92112859999999996</v>
      </c>
      <c r="K26" s="426">
        <v>0</v>
      </c>
      <c r="L26" s="426">
        <v>0.92112859999999996</v>
      </c>
      <c r="M26" s="426"/>
      <c r="N26" s="426"/>
      <c r="O26" s="426"/>
    </row>
    <row r="27" spans="1:15" ht="35.25" customHeight="1" x14ac:dyDescent="0.25">
      <c r="A27" s="322" t="s">
        <v>8</v>
      </c>
      <c r="B27" s="322" t="s">
        <v>7</v>
      </c>
      <c r="C27" s="322" t="s">
        <v>92</v>
      </c>
      <c r="D27" s="322" t="s">
        <v>128</v>
      </c>
      <c r="E27" s="322" t="s">
        <v>33</v>
      </c>
      <c r="F27" s="322" t="s">
        <v>45</v>
      </c>
      <c r="G27" s="322" t="s">
        <v>22</v>
      </c>
      <c r="H27" s="386">
        <v>41820</v>
      </c>
      <c r="I27" s="322" t="s">
        <v>138</v>
      </c>
      <c r="J27" s="428">
        <v>0.22077552</v>
      </c>
      <c r="K27" s="428">
        <v>0</v>
      </c>
      <c r="L27" s="428">
        <v>0.22077552</v>
      </c>
      <c r="M27" s="428"/>
      <c r="N27" s="428"/>
      <c r="O27" s="428"/>
    </row>
    <row r="28" spans="1:15" ht="35.25" customHeight="1" x14ac:dyDescent="0.25">
      <c r="A28" s="328" t="s">
        <v>8</v>
      </c>
      <c r="B28" s="328" t="s">
        <v>7</v>
      </c>
      <c r="C28" s="328" t="s">
        <v>27</v>
      </c>
      <c r="D28" s="328" t="s">
        <v>127</v>
      </c>
      <c r="E28" s="328" t="s">
        <v>33</v>
      </c>
      <c r="F28" s="328" t="s">
        <v>45</v>
      </c>
      <c r="G28" s="328" t="s">
        <v>22</v>
      </c>
      <c r="H28" s="385">
        <v>42185</v>
      </c>
      <c r="I28" s="328" t="s">
        <v>139</v>
      </c>
      <c r="J28" s="426">
        <v>0</v>
      </c>
      <c r="K28" s="426">
        <v>0</v>
      </c>
      <c r="L28" s="426">
        <v>0</v>
      </c>
      <c r="M28" s="426"/>
      <c r="N28" s="426"/>
      <c r="O28" s="426"/>
    </row>
    <row r="29" spans="1:15" ht="35.25" customHeight="1" x14ac:dyDescent="0.25">
      <c r="A29" s="322" t="s">
        <v>8</v>
      </c>
      <c r="B29" s="322" t="s">
        <v>7</v>
      </c>
      <c r="C29" s="322" t="s">
        <v>92</v>
      </c>
      <c r="D29" s="322" t="s">
        <v>128</v>
      </c>
      <c r="E29" s="322" t="s">
        <v>33</v>
      </c>
      <c r="F29" s="322" t="s">
        <v>45</v>
      </c>
      <c r="G29" s="322" t="s">
        <v>22</v>
      </c>
      <c r="H29" s="386">
        <v>42185</v>
      </c>
      <c r="I29" s="322" t="s">
        <v>139</v>
      </c>
      <c r="J29" s="428">
        <v>0</v>
      </c>
      <c r="K29" s="428">
        <v>0</v>
      </c>
      <c r="L29" s="428">
        <v>0</v>
      </c>
      <c r="M29" s="428"/>
      <c r="N29" s="428"/>
      <c r="O29" s="428"/>
    </row>
    <row r="30" spans="1:15" ht="35.25" customHeight="1" x14ac:dyDescent="0.25">
      <c r="A30" s="328" t="s">
        <v>8</v>
      </c>
      <c r="B30" s="328" t="s">
        <v>7</v>
      </c>
      <c r="C30" s="328" t="s">
        <v>27</v>
      </c>
      <c r="D30" s="328" t="s">
        <v>127</v>
      </c>
      <c r="E30" s="328" t="s">
        <v>33</v>
      </c>
      <c r="F30" s="328" t="s">
        <v>45</v>
      </c>
      <c r="G30" s="328" t="s">
        <v>22</v>
      </c>
      <c r="H30" s="385">
        <v>42551</v>
      </c>
      <c r="I30" s="328" t="s">
        <v>301</v>
      </c>
      <c r="J30" s="426">
        <v>0</v>
      </c>
      <c r="K30" s="426">
        <v>0</v>
      </c>
      <c r="L30" s="426">
        <v>0</v>
      </c>
      <c r="M30" s="426"/>
      <c r="N30" s="426"/>
      <c r="O30" s="426"/>
    </row>
    <row r="31" spans="1:15" ht="35.25" customHeight="1" x14ac:dyDescent="0.25">
      <c r="A31" s="322" t="s">
        <v>8</v>
      </c>
      <c r="B31" s="322" t="s">
        <v>7</v>
      </c>
      <c r="C31" s="322" t="s">
        <v>92</v>
      </c>
      <c r="D31" s="322" t="s">
        <v>128</v>
      </c>
      <c r="E31" s="322" t="s">
        <v>33</v>
      </c>
      <c r="F31" s="322" t="s">
        <v>45</v>
      </c>
      <c r="G31" s="322" t="s">
        <v>22</v>
      </c>
      <c r="H31" s="386">
        <v>42551</v>
      </c>
      <c r="I31" s="322" t="s">
        <v>301</v>
      </c>
      <c r="J31" s="428">
        <v>0</v>
      </c>
      <c r="K31" s="428">
        <v>0</v>
      </c>
      <c r="L31" s="428">
        <v>0</v>
      </c>
      <c r="M31" s="428"/>
      <c r="N31" s="428"/>
      <c r="O31" s="428"/>
    </row>
    <row r="32" spans="1:15" ht="35.25" customHeight="1" x14ac:dyDescent="0.25">
      <c r="A32" s="181" t="s">
        <v>296</v>
      </c>
      <c r="B32" s="181"/>
      <c r="C32" s="181"/>
      <c r="D32" s="181"/>
      <c r="E32" s="182"/>
      <c r="F32" s="181"/>
      <c r="G32" s="181"/>
      <c r="H32" s="183" t="s">
        <v>206</v>
      </c>
      <c r="I32" s="181"/>
      <c r="J32" s="290">
        <v>6.4173038</v>
      </c>
      <c r="K32" s="290">
        <v>-1.4458323599999998</v>
      </c>
      <c r="L32" s="290">
        <v>4.9714714400000002</v>
      </c>
      <c r="M32" s="290">
        <v>3.8980675920000003</v>
      </c>
      <c r="N32" s="290">
        <v>1.0734038479999997</v>
      </c>
      <c r="O32" s="290"/>
    </row>
    <row r="33" spans="1:15" ht="35.25" customHeight="1" x14ac:dyDescent="0.25">
      <c r="A33" s="181"/>
      <c r="B33" s="181"/>
      <c r="C33" s="181"/>
      <c r="D33" s="181"/>
      <c r="E33" s="182"/>
      <c r="F33" s="181"/>
      <c r="G33" s="181"/>
      <c r="H33" s="183"/>
      <c r="I33" s="181"/>
      <c r="J33" s="290"/>
      <c r="K33" s="290"/>
      <c r="L33" s="290"/>
      <c r="M33" s="290"/>
      <c r="N33" s="290"/>
      <c r="O33" s="290"/>
    </row>
    <row r="34" spans="1:15" ht="35.25" customHeight="1" x14ac:dyDescent="0.25">
      <c r="A34" s="184" t="s">
        <v>298</v>
      </c>
      <c r="B34" s="184"/>
      <c r="C34" s="185"/>
      <c r="D34" s="185"/>
      <c r="E34" s="184"/>
      <c r="F34" s="184"/>
      <c r="G34" s="184"/>
      <c r="H34" s="383"/>
      <c r="I34" s="184"/>
      <c r="J34" s="403"/>
      <c r="K34" s="403"/>
      <c r="L34" s="403"/>
      <c r="M34" s="403"/>
      <c r="N34" s="403"/>
      <c r="O34" s="404"/>
    </row>
    <row r="35" spans="1:15" ht="35.25" customHeight="1" x14ac:dyDescent="0.25">
      <c r="A35" s="901">
        <v>1.08</v>
      </c>
      <c r="B35" s="902"/>
      <c r="C35" s="902"/>
      <c r="D35" s="902"/>
      <c r="E35" s="902"/>
      <c r="F35" s="902"/>
      <c r="G35" s="902"/>
      <c r="H35" s="902"/>
      <c r="I35" s="902"/>
      <c r="J35" s="902"/>
      <c r="K35" s="902"/>
      <c r="L35" s="902"/>
      <c r="M35" s="902"/>
      <c r="N35" s="902"/>
      <c r="O35" s="903"/>
    </row>
    <row r="36" spans="1:15" ht="35.25" customHeight="1" x14ac:dyDescent="0.25">
      <c r="A36" s="176" t="s">
        <v>89</v>
      </c>
      <c r="B36" s="176" t="s">
        <v>90</v>
      </c>
      <c r="C36" s="177" t="s">
        <v>0</v>
      </c>
      <c r="D36" s="177" t="s">
        <v>124</v>
      </c>
      <c r="E36" s="176" t="s">
        <v>143</v>
      </c>
      <c r="F36" s="176" t="s">
        <v>144</v>
      </c>
      <c r="G36" s="176" t="s">
        <v>13</v>
      </c>
      <c r="H36" s="382" t="s">
        <v>88</v>
      </c>
      <c r="I36" s="176" t="s">
        <v>12</v>
      </c>
      <c r="J36" s="400" t="s">
        <v>200</v>
      </c>
      <c r="K36" s="400" t="s">
        <v>199</v>
      </c>
      <c r="L36" s="400" t="s">
        <v>201</v>
      </c>
      <c r="M36" s="400" t="s">
        <v>149</v>
      </c>
      <c r="N36" s="400" t="s">
        <v>154</v>
      </c>
      <c r="O36" s="400" t="s">
        <v>304</v>
      </c>
    </row>
    <row r="37" spans="1:15" ht="35.25" customHeight="1" x14ac:dyDescent="0.25">
      <c r="A37" s="328" t="s">
        <v>84</v>
      </c>
      <c r="B37" s="328" t="s">
        <v>9</v>
      </c>
      <c r="C37" s="328" t="s">
        <v>183</v>
      </c>
      <c r="D37" s="328" t="s">
        <v>142</v>
      </c>
      <c r="E37" s="329" t="s">
        <v>142</v>
      </c>
      <c r="F37" s="328" t="s">
        <v>142</v>
      </c>
      <c r="G37" s="328" t="s">
        <v>22</v>
      </c>
      <c r="H37" s="93">
        <v>41449</v>
      </c>
      <c r="I37" s="328" t="s">
        <v>172</v>
      </c>
      <c r="J37" s="289">
        <v>7.0349999999999996E-2</v>
      </c>
      <c r="K37" s="289" t="s">
        <v>299</v>
      </c>
      <c r="L37" s="289">
        <v>7.0349999999999996E-2</v>
      </c>
      <c r="M37" s="289">
        <f>+O37*50000/1000000</f>
        <v>6.3E-2</v>
      </c>
      <c r="N37" s="289">
        <f>IF(M37-L37&lt;0,0,M37-L37)</f>
        <v>0</v>
      </c>
      <c r="O37" s="289">
        <v>1.26</v>
      </c>
    </row>
    <row r="38" spans="1:15" ht="35.25" customHeight="1" x14ac:dyDescent="0.25">
      <c r="A38" s="111" t="s">
        <v>297</v>
      </c>
      <c r="B38" s="99"/>
      <c r="J38" s="436"/>
      <c r="K38" s="436"/>
      <c r="L38" s="437">
        <f>L37</f>
        <v>7.0349999999999996E-2</v>
      </c>
      <c r="M38" s="437"/>
      <c r="N38" s="437">
        <f>N37</f>
        <v>0</v>
      </c>
      <c r="O38" s="437"/>
    </row>
    <row r="39" spans="1:15" ht="35.25" customHeight="1" x14ac:dyDescent="0.25">
      <c r="A39" s="99"/>
      <c r="B39" s="99"/>
      <c r="C39" s="99"/>
      <c r="D39" s="99"/>
      <c r="E39" s="99"/>
      <c r="F39" s="99"/>
      <c r="G39" s="99"/>
      <c r="H39" s="388"/>
      <c r="I39" s="99"/>
      <c r="J39" s="437"/>
      <c r="K39" s="437"/>
      <c r="L39" s="437"/>
      <c r="M39" s="437"/>
      <c r="N39" s="437"/>
      <c r="O39" s="437"/>
    </row>
    <row r="40" spans="1:15" ht="35.25" customHeight="1" x14ac:dyDescent="0.25">
      <c r="A40" s="99"/>
      <c r="B40" s="99"/>
      <c r="C40" s="99"/>
      <c r="D40" s="99"/>
      <c r="E40" s="99"/>
      <c r="F40" s="99"/>
      <c r="G40" s="99"/>
      <c r="H40" s="388"/>
      <c r="I40" s="99"/>
      <c r="J40" s="437"/>
      <c r="K40" s="437"/>
      <c r="L40" s="437"/>
      <c r="M40" s="437"/>
      <c r="N40" s="437"/>
      <c r="O40" s="437"/>
    </row>
    <row r="41" spans="1:15" ht="35.25" customHeight="1" x14ac:dyDescent="0.25">
      <c r="A41" s="99"/>
      <c r="B41" s="99"/>
      <c r="C41" s="99"/>
      <c r="D41" s="99"/>
      <c r="E41" s="99"/>
      <c r="F41" s="99"/>
      <c r="G41" s="99"/>
      <c r="H41" s="388"/>
      <c r="I41" s="99"/>
      <c r="J41" s="406"/>
      <c r="K41" s="406"/>
      <c r="L41" s="406"/>
      <c r="M41" s="406"/>
      <c r="N41" s="406"/>
      <c r="O41" s="406"/>
    </row>
    <row r="42" spans="1:15" ht="15" x14ac:dyDescent="0.25">
      <c r="A42" s="99"/>
      <c r="B42" s="99"/>
      <c r="C42" s="99"/>
      <c r="D42" s="99"/>
      <c r="E42" s="99"/>
      <c r="F42" s="99"/>
      <c r="G42" s="99"/>
      <c r="H42" s="388"/>
      <c r="I42" s="99"/>
      <c r="J42" s="406"/>
      <c r="K42" s="406"/>
      <c r="L42" s="406"/>
      <c r="M42" s="406"/>
      <c r="N42" s="406"/>
      <c r="O42" s="406"/>
    </row>
    <row r="43" spans="1:15" ht="15" x14ac:dyDescent="0.25">
      <c r="A43" s="99"/>
      <c r="B43" s="99"/>
      <c r="C43" s="99"/>
      <c r="D43" s="99"/>
      <c r="E43" s="99"/>
      <c r="F43" s="99"/>
      <c r="G43" s="99"/>
      <c r="H43" s="388"/>
      <c r="I43" s="99"/>
      <c r="J43" s="406"/>
      <c r="K43" s="406"/>
      <c r="L43" s="406"/>
      <c r="M43" s="406"/>
      <c r="N43" s="406"/>
      <c r="O43" s="406"/>
    </row>
    <row r="44" spans="1:15" ht="15" x14ac:dyDescent="0.25">
      <c r="A44" s="99"/>
      <c r="B44" s="99"/>
      <c r="C44" s="99"/>
      <c r="D44" s="99"/>
      <c r="E44" s="99"/>
      <c r="F44" s="99"/>
      <c r="G44" s="99"/>
      <c r="H44" s="388"/>
      <c r="I44" s="99"/>
      <c r="J44" s="406"/>
      <c r="K44" s="406"/>
      <c r="L44" s="406"/>
      <c r="M44" s="406"/>
      <c r="N44" s="406"/>
      <c r="O44" s="406"/>
    </row>
    <row r="45" spans="1:15" ht="15" x14ac:dyDescent="0.25">
      <c r="A45" s="99"/>
      <c r="B45" s="99"/>
      <c r="C45" s="99"/>
      <c r="D45" s="99"/>
      <c r="E45" s="99"/>
      <c r="F45" s="99"/>
      <c r="G45" s="99"/>
      <c r="H45" s="388"/>
      <c r="I45" s="99"/>
      <c r="J45" s="406"/>
      <c r="K45" s="406"/>
      <c r="L45" s="406"/>
      <c r="M45" s="406"/>
      <c r="N45" s="406"/>
      <c r="O45" s="406"/>
    </row>
    <row r="46" spans="1:15" ht="15" x14ac:dyDescent="0.25">
      <c r="A46" s="99"/>
      <c r="B46" s="99"/>
      <c r="C46" s="99"/>
      <c r="D46" s="99"/>
      <c r="E46" s="99"/>
      <c r="F46" s="99"/>
      <c r="G46" s="99"/>
      <c r="H46" s="388"/>
      <c r="I46" s="99"/>
      <c r="J46" s="406"/>
      <c r="K46" s="406"/>
      <c r="L46" s="406"/>
      <c r="M46" s="406"/>
      <c r="N46" s="406"/>
      <c r="O46" s="406"/>
    </row>
    <row r="47" spans="1:15" ht="15.6" thickBot="1" x14ac:dyDescent="0.3">
      <c r="A47" s="904"/>
      <c r="B47" s="904"/>
      <c r="C47" s="904"/>
      <c r="D47" s="904"/>
      <c r="E47" s="904"/>
      <c r="F47" s="904"/>
      <c r="G47" s="904"/>
      <c r="H47" s="904"/>
      <c r="I47" s="904"/>
      <c r="J47" s="904"/>
      <c r="K47" s="904"/>
      <c r="L47" s="904"/>
      <c r="M47" s="904"/>
      <c r="N47" s="904"/>
      <c r="O47" s="904"/>
    </row>
    <row r="48" spans="1:15" ht="15.6" x14ac:dyDescent="0.3">
      <c r="A48" s="905"/>
      <c r="B48" s="905"/>
      <c r="C48" s="905"/>
      <c r="D48" s="905"/>
      <c r="E48" s="905"/>
      <c r="F48" s="905"/>
      <c r="G48" s="99"/>
      <c r="H48" s="388"/>
      <c r="I48" s="99"/>
      <c r="J48" s="406"/>
      <c r="K48" s="406"/>
      <c r="L48" s="406"/>
      <c r="M48" s="406"/>
      <c r="N48" s="406"/>
      <c r="O48" s="406"/>
    </row>
    <row r="49" spans="1:15" ht="15.6" x14ac:dyDescent="0.3">
      <c r="A49" s="202"/>
      <c r="B49" s="203"/>
      <c r="C49" s="203"/>
      <c r="D49" s="202"/>
      <c r="E49" s="202"/>
      <c r="F49" s="202"/>
      <c r="G49" s="99"/>
      <c r="H49" s="384"/>
      <c r="I49" s="99"/>
      <c r="J49" s="406"/>
      <c r="K49" s="406"/>
      <c r="L49" s="406"/>
      <c r="M49" s="406"/>
      <c r="N49" s="406"/>
      <c r="O49" s="406"/>
    </row>
    <row r="50" spans="1:15" ht="15" x14ac:dyDescent="0.25">
      <c r="A50" s="391"/>
      <c r="B50" s="391"/>
      <c r="C50" s="391"/>
      <c r="D50" s="391"/>
      <c r="E50" s="391"/>
      <c r="F50" s="391"/>
      <c r="G50" s="99"/>
      <c r="H50" s="388"/>
      <c r="I50" s="99"/>
      <c r="J50" s="406"/>
      <c r="K50" s="406"/>
      <c r="L50" s="406"/>
      <c r="M50" s="406"/>
      <c r="N50" s="406"/>
      <c r="O50" s="406"/>
    </row>
    <row r="51" spans="1:15" ht="15" x14ac:dyDescent="0.25">
      <c r="A51" s="395"/>
      <c r="B51" s="392"/>
      <c r="C51" s="392"/>
      <c r="D51" s="392"/>
      <c r="E51" s="392"/>
      <c r="F51" s="205"/>
      <c r="G51" s="99"/>
      <c r="H51" s="388"/>
      <c r="I51" s="99"/>
      <c r="J51" s="406"/>
      <c r="K51" s="406"/>
      <c r="L51" s="406"/>
      <c r="M51" s="406"/>
      <c r="N51" s="406"/>
      <c r="O51" s="406"/>
    </row>
    <row r="52" spans="1:15" ht="15" x14ac:dyDescent="0.25">
      <c r="A52" s="395"/>
      <c r="B52" s="392"/>
      <c r="C52" s="392"/>
      <c r="D52" s="392"/>
      <c r="E52" s="392"/>
      <c r="F52" s="205"/>
      <c r="G52" s="99"/>
      <c r="H52" s="388"/>
      <c r="I52" s="99"/>
      <c r="J52" s="406"/>
      <c r="K52" s="406"/>
      <c r="L52" s="406"/>
      <c r="M52" s="406"/>
      <c r="N52" s="406"/>
      <c r="O52" s="406"/>
    </row>
    <row r="53" spans="1:15" ht="15" x14ac:dyDescent="0.25">
      <c r="A53" s="391"/>
      <c r="B53" s="392"/>
      <c r="C53" s="392"/>
      <c r="D53" s="392"/>
      <c r="E53" s="392"/>
      <c r="F53" s="205"/>
      <c r="G53" s="99"/>
      <c r="H53" s="388"/>
      <c r="I53" s="99"/>
      <c r="J53" s="406"/>
      <c r="K53" s="406"/>
      <c r="L53" s="406"/>
      <c r="M53" s="406"/>
      <c r="N53" s="406"/>
      <c r="O53" s="406"/>
    </row>
    <row r="54" spans="1:15" ht="15" x14ac:dyDescent="0.25">
      <c r="A54" s="395"/>
      <c r="B54" s="392"/>
      <c r="C54" s="392"/>
      <c r="D54" s="392"/>
      <c r="E54" s="392"/>
      <c r="F54" s="205"/>
      <c r="G54" s="99"/>
      <c r="H54" s="388"/>
      <c r="I54" s="99"/>
      <c r="J54" s="406"/>
      <c r="K54" s="406"/>
      <c r="L54" s="406"/>
      <c r="M54" s="406"/>
      <c r="N54" s="406"/>
      <c r="O54" s="406"/>
    </row>
    <row r="55" spans="1:15" ht="15" x14ac:dyDescent="0.25">
      <c r="A55" s="391"/>
      <c r="B55" s="392"/>
      <c r="C55" s="392"/>
      <c r="D55" s="392"/>
      <c r="E55" s="392"/>
      <c r="F55" s="205"/>
      <c r="G55" s="99"/>
      <c r="H55" s="388"/>
      <c r="I55" s="99"/>
      <c r="J55" s="406"/>
      <c r="K55" s="406"/>
      <c r="L55" s="406"/>
      <c r="M55" s="406"/>
      <c r="N55" s="406"/>
      <c r="O55" s="406"/>
    </row>
    <row r="56" spans="1:15" ht="15" x14ac:dyDescent="0.25">
      <c r="A56" s="391"/>
      <c r="B56" s="392"/>
      <c r="C56" s="392"/>
      <c r="D56" s="392"/>
      <c r="E56" s="392"/>
      <c r="F56" s="205"/>
      <c r="G56" s="99"/>
      <c r="H56" s="388"/>
      <c r="I56" s="99"/>
      <c r="J56" s="406"/>
      <c r="K56" s="406"/>
      <c r="L56" s="406"/>
      <c r="M56" s="406"/>
      <c r="N56" s="406"/>
      <c r="O56" s="406"/>
    </row>
    <row r="57" spans="1:15" ht="16.8" x14ac:dyDescent="0.4">
      <c r="A57" s="391"/>
      <c r="B57" s="393"/>
      <c r="C57" s="393"/>
      <c r="D57" s="393"/>
      <c r="E57" s="393"/>
      <c r="F57" s="207"/>
      <c r="G57" s="99"/>
      <c r="H57" s="389"/>
      <c r="I57" s="99"/>
      <c r="J57" s="406"/>
      <c r="K57" s="406"/>
      <c r="L57" s="406"/>
      <c r="M57" s="406"/>
      <c r="N57" s="406"/>
      <c r="O57" s="406"/>
    </row>
    <row r="58" spans="1:15" ht="16.8" x14ac:dyDescent="0.4">
      <c r="A58" s="391"/>
      <c r="B58" s="394"/>
      <c r="C58" s="394"/>
      <c r="D58" s="394"/>
      <c r="E58" s="394"/>
      <c r="F58" s="210"/>
      <c r="G58" s="99"/>
      <c r="H58" s="390"/>
      <c r="I58" s="99"/>
      <c r="J58" s="406"/>
      <c r="K58" s="406"/>
      <c r="L58" s="406"/>
      <c r="M58" s="406"/>
      <c r="N58" s="406"/>
      <c r="O58" s="406"/>
    </row>
    <row r="59" spans="1:15" ht="15" x14ac:dyDescent="0.25">
      <c r="A59" s="391"/>
      <c r="B59" s="391"/>
      <c r="C59" s="391"/>
      <c r="D59" s="391"/>
      <c r="E59" s="391"/>
      <c r="F59" s="391"/>
      <c r="G59" s="99"/>
      <c r="H59" s="388"/>
      <c r="I59" s="99"/>
      <c r="J59" s="406"/>
      <c r="K59" s="406"/>
      <c r="L59" s="406"/>
      <c r="M59" s="406"/>
      <c r="N59" s="406"/>
      <c r="O59" s="406"/>
    </row>
    <row r="60" spans="1:15" ht="15" x14ac:dyDescent="0.25">
      <c r="A60" s="99"/>
      <c r="B60" s="99"/>
      <c r="C60" s="99"/>
      <c r="D60" s="99"/>
      <c r="E60" s="99"/>
      <c r="F60" s="99"/>
      <c r="G60" s="99"/>
      <c r="H60" s="388"/>
      <c r="I60" s="99"/>
      <c r="J60" s="406"/>
      <c r="K60" s="406"/>
      <c r="L60" s="406"/>
      <c r="M60" s="406"/>
      <c r="N60" s="406"/>
      <c r="O60" s="406"/>
    </row>
    <row r="61" spans="1:15" ht="15" x14ac:dyDescent="0.25">
      <c r="A61" s="99"/>
      <c r="B61" s="99"/>
      <c r="C61" s="99"/>
      <c r="D61" s="99"/>
      <c r="E61" s="99"/>
      <c r="F61" s="99"/>
      <c r="G61" s="99"/>
      <c r="H61" s="388"/>
      <c r="I61" s="99"/>
      <c r="J61" s="406"/>
      <c r="K61" s="406"/>
      <c r="L61" s="406"/>
      <c r="M61" s="406"/>
      <c r="N61" s="406"/>
      <c r="O61" s="406"/>
    </row>
    <row r="62" spans="1:15" ht="15" x14ac:dyDescent="0.25">
      <c r="A62" s="99"/>
      <c r="B62" s="99"/>
      <c r="C62" s="99"/>
      <c r="D62" s="99"/>
      <c r="E62" s="99"/>
      <c r="F62" s="99"/>
      <c r="G62" s="99"/>
      <c r="H62" s="388"/>
      <c r="I62" s="99"/>
      <c r="J62" s="406"/>
      <c r="K62" s="406"/>
      <c r="L62" s="406"/>
      <c r="M62" s="406"/>
      <c r="N62" s="406"/>
      <c r="O62" s="406"/>
    </row>
    <row r="63" spans="1:15" ht="15" x14ac:dyDescent="0.25">
      <c r="A63" s="99"/>
      <c r="B63" s="99"/>
      <c r="C63" s="99"/>
      <c r="D63" s="99"/>
      <c r="E63" s="99"/>
      <c r="F63" s="99"/>
      <c r="G63" s="99"/>
      <c r="H63" s="388"/>
      <c r="I63" s="99"/>
      <c r="J63" s="406"/>
      <c r="K63" s="406"/>
      <c r="L63" s="406"/>
      <c r="M63" s="406"/>
      <c r="N63" s="406"/>
      <c r="O63" s="406"/>
    </row>
    <row r="64" spans="1:15" ht="15" x14ac:dyDescent="0.25">
      <c r="A64" s="99"/>
      <c r="B64" s="99"/>
      <c r="C64" s="99"/>
      <c r="D64" s="99"/>
      <c r="E64" s="99"/>
      <c r="F64" s="99"/>
      <c r="G64" s="99"/>
      <c r="H64" s="388"/>
      <c r="I64" s="99"/>
      <c r="J64" s="406"/>
      <c r="K64" s="406"/>
      <c r="L64" s="406"/>
      <c r="M64" s="406"/>
      <c r="N64" s="406"/>
      <c r="O64" s="406"/>
    </row>
    <row r="65" spans="1:15" ht="15" x14ac:dyDescent="0.25">
      <c r="A65" s="99"/>
      <c r="B65" s="99"/>
      <c r="C65" s="99"/>
      <c r="D65" s="99"/>
      <c r="E65" s="99"/>
      <c r="F65" s="99"/>
      <c r="G65" s="99"/>
      <c r="H65" s="388"/>
      <c r="I65" s="99"/>
      <c r="J65" s="406"/>
      <c r="K65" s="406"/>
      <c r="L65" s="406"/>
      <c r="M65" s="406"/>
      <c r="N65" s="406"/>
      <c r="O65" s="406"/>
    </row>
    <row r="66" spans="1:15" ht="15" x14ac:dyDescent="0.25">
      <c r="A66" s="99"/>
      <c r="B66" s="99"/>
      <c r="C66" s="99"/>
      <c r="D66" s="99"/>
      <c r="E66" s="99"/>
      <c r="F66" s="99"/>
      <c r="G66" s="99"/>
      <c r="H66" s="388"/>
      <c r="I66" s="99"/>
      <c r="J66" s="406"/>
      <c r="K66" s="406"/>
      <c r="L66" s="406"/>
      <c r="M66" s="406"/>
      <c r="N66" s="406"/>
      <c r="O66" s="406"/>
    </row>
    <row r="67" spans="1:15" ht="15" x14ac:dyDescent="0.25">
      <c r="A67" s="99"/>
      <c r="B67" s="99"/>
      <c r="C67" s="99"/>
      <c r="D67" s="99"/>
      <c r="E67" s="99"/>
      <c r="F67" s="99"/>
      <c r="G67" s="99"/>
      <c r="H67" s="388"/>
      <c r="I67" s="99"/>
      <c r="J67" s="406"/>
      <c r="K67" s="406"/>
      <c r="L67" s="406"/>
      <c r="M67" s="406"/>
      <c r="N67" s="406"/>
      <c r="O67" s="406"/>
    </row>
    <row r="68" spans="1:15" ht="15" x14ac:dyDescent="0.25">
      <c r="A68" s="99"/>
      <c r="B68" s="99"/>
      <c r="C68" s="99"/>
      <c r="D68" s="99"/>
      <c r="E68" s="99"/>
      <c r="F68" s="99"/>
      <c r="G68" s="99"/>
      <c r="H68" s="388"/>
      <c r="I68" s="99"/>
      <c r="J68" s="406"/>
      <c r="K68" s="406"/>
      <c r="L68" s="406"/>
      <c r="M68" s="406"/>
      <c r="N68" s="406"/>
      <c r="O68" s="406"/>
    </row>
    <row r="69" spans="1:15" ht="15" x14ac:dyDescent="0.25">
      <c r="A69" s="99"/>
      <c r="B69" s="99"/>
      <c r="C69" s="99"/>
      <c r="D69" s="99"/>
      <c r="E69" s="99"/>
      <c r="F69" s="99"/>
      <c r="G69" s="99"/>
      <c r="H69" s="388"/>
      <c r="I69" s="99"/>
      <c r="J69" s="406"/>
      <c r="K69" s="406"/>
      <c r="L69" s="406"/>
      <c r="M69" s="406"/>
      <c r="N69" s="406"/>
      <c r="O69" s="406"/>
    </row>
    <row r="70" spans="1:15" ht="15" x14ac:dyDescent="0.25">
      <c r="A70" s="99"/>
      <c r="B70" s="99"/>
      <c r="C70" s="99"/>
      <c r="D70" s="99"/>
      <c r="E70" s="99"/>
      <c r="F70" s="99"/>
      <c r="G70" s="99"/>
      <c r="H70" s="388"/>
      <c r="I70" s="99"/>
      <c r="J70" s="406"/>
      <c r="K70" s="406"/>
      <c r="L70" s="406"/>
      <c r="M70" s="406"/>
      <c r="N70" s="406"/>
      <c r="O70" s="406"/>
    </row>
    <row r="71" spans="1:15" ht="15" x14ac:dyDescent="0.25">
      <c r="A71" s="99"/>
      <c r="B71" s="99"/>
      <c r="C71" s="99"/>
      <c r="D71" s="99"/>
      <c r="E71" s="99"/>
      <c r="F71" s="99"/>
      <c r="G71" s="99"/>
      <c r="H71" s="388"/>
      <c r="I71" s="99"/>
      <c r="J71" s="406"/>
      <c r="K71" s="406"/>
      <c r="L71" s="406"/>
      <c r="M71" s="406"/>
      <c r="N71" s="406"/>
      <c r="O71" s="406"/>
    </row>
    <row r="72" spans="1:15" ht="15" x14ac:dyDescent="0.25">
      <c r="A72" s="99"/>
      <c r="B72" s="99"/>
      <c r="C72" s="99"/>
      <c r="D72" s="99"/>
      <c r="E72" s="99"/>
      <c r="F72" s="99"/>
      <c r="G72" s="99"/>
      <c r="H72" s="388"/>
      <c r="I72" s="99"/>
      <c r="J72" s="406"/>
      <c r="K72" s="406"/>
      <c r="L72" s="406"/>
      <c r="M72" s="406"/>
      <c r="N72" s="406"/>
      <c r="O72" s="406"/>
    </row>
    <row r="73" spans="1:15" ht="15" x14ac:dyDescent="0.25">
      <c r="A73" s="99"/>
      <c r="B73" s="99"/>
      <c r="C73" s="99"/>
      <c r="D73" s="99"/>
      <c r="E73" s="99"/>
      <c r="F73" s="99"/>
      <c r="G73" s="99"/>
      <c r="H73" s="388"/>
      <c r="I73" s="99"/>
      <c r="J73" s="406"/>
      <c r="K73" s="406"/>
      <c r="L73" s="406"/>
      <c r="M73" s="406"/>
      <c r="N73" s="406"/>
      <c r="O73" s="406"/>
    </row>
    <row r="74" spans="1:15" ht="15" x14ac:dyDescent="0.25">
      <c r="A74" s="99"/>
      <c r="B74" s="99"/>
      <c r="C74" s="99"/>
      <c r="D74" s="99"/>
      <c r="E74" s="99"/>
      <c r="F74" s="99"/>
      <c r="G74" s="99"/>
      <c r="H74" s="388"/>
      <c r="I74" s="99"/>
      <c r="J74" s="406"/>
      <c r="K74" s="406"/>
      <c r="L74" s="406"/>
      <c r="M74" s="406"/>
      <c r="N74" s="406"/>
      <c r="O74" s="406"/>
    </row>
    <row r="75" spans="1:15" ht="15" x14ac:dyDescent="0.25">
      <c r="A75" s="99"/>
      <c r="B75" s="99"/>
      <c r="C75" s="99"/>
      <c r="D75" s="99"/>
      <c r="E75" s="99"/>
      <c r="F75" s="99"/>
      <c r="G75" s="99"/>
      <c r="H75" s="388"/>
      <c r="I75" s="99"/>
      <c r="J75" s="406"/>
      <c r="K75" s="406"/>
      <c r="L75" s="406"/>
      <c r="M75" s="406"/>
      <c r="N75" s="406"/>
      <c r="O75" s="406"/>
    </row>
    <row r="76" spans="1:15" ht="15" x14ac:dyDescent="0.25">
      <c r="A76" s="99"/>
      <c r="B76" s="99"/>
      <c r="C76" s="99"/>
      <c r="D76" s="99"/>
      <c r="E76" s="99"/>
      <c r="F76" s="99"/>
      <c r="G76" s="99"/>
      <c r="H76" s="388"/>
      <c r="I76" s="99"/>
      <c r="J76" s="406"/>
      <c r="K76" s="406"/>
      <c r="L76" s="406"/>
      <c r="M76" s="406"/>
      <c r="N76" s="406"/>
      <c r="O76" s="406"/>
    </row>
    <row r="77" spans="1:15" ht="15" x14ac:dyDescent="0.25">
      <c r="A77" s="99"/>
      <c r="B77" s="99"/>
      <c r="C77" s="99"/>
      <c r="D77" s="99"/>
      <c r="E77" s="99"/>
      <c r="F77" s="99"/>
      <c r="G77" s="99"/>
      <c r="H77" s="388"/>
      <c r="I77" s="99"/>
      <c r="J77" s="406"/>
      <c r="K77" s="406"/>
      <c r="L77" s="406"/>
      <c r="M77" s="406"/>
      <c r="N77" s="406"/>
      <c r="O77" s="406"/>
    </row>
    <row r="78" spans="1:15" ht="15" x14ac:dyDescent="0.25">
      <c r="A78" s="99"/>
      <c r="B78" s="99"/>
      <c r="C78" s="99"/>
      <c r="D78" s="99"/>
      <c r="E78" s="99"/>
      <c r="F78" s="99"/>
      <c r="G78" s="99"/>
      <c r="H78" s="388"/>
      <c r="I78" s="99"/>
      <c r="J78" s="406"/>
      <c r="K78" s="406"/>
      <c r="L78" s="406"/>
      <c r="M78" s="406"/>
      <c r="N78" s="406"/>
      <c r="O78" s="406"/>
    </row>
    <row r="79" spans="1:15" ht="15" x14ac:dyDescent="0.25">
      <c r="A79" s="99"/>
      <c r="B79" s="99"/>
      <c r="C79" s="99"/>
      <c r="D79" s="99"/>
      <c r="E79" s="99"/>
      <c r="F79" s="99"/>
      <c r="G79" s="99"/>
      <c r="H79" s="388"/>
      <c r="I79" s="99"/>
      <c r="J79" s="406"/>
      <c r="K79" s="406"/>
      <c r="L79" s="406"/>
      <c r="M79" s="406"/>
      <c r="N79" s="406"/>
      <c r="O79" s="406"/>
    </row>
    <row r="80" spans="1:15" ht="15" x14ac:dyDescent="0.25">
      <c r="A80" s="99"/>
      <c r="B80" s="99"/>
      <c r="C80" s="99"/>
      <c r="D80" s="99"/>
      <c r="E80" s="99"/>
      <c r="F80" s="99"/>
      <c r="G80" s="99"/>
      <c r="H80" s="388"/>
      <c r="I80" s="99"/>
      <c r="J80" s="406"/>
      <c r="K80" s="406"/>
      <c r="L80" s="406"/>
      <c r="M80" s="406"/>
      <c r="N80" s="406"/>
      <c r="O80" s="406"/>
    </row>
    <row r="81" spans="1:15" ht="15" x14ac:dyDescent="0.25">
      <c r="A81" s="99"/>
      <c r="B81" s="99"/>
      <c r="C81" s="99"/>
      <c r="D81" s="99"/>
      <c r="E81" s="99"/>
      <c r="F81" s="99"/>
      <c r="G81" s="99"/>
      <c r="H81" s="388"/>
      <c r="I81" s="99"/>
      <c r="J81" s="406"/>
      <c r="K81" s="406"/>
      <c r="L81" s="406"/>
      <c r="M81" s="406"/>
      <c r="N81" s="406"/>
      <c r="O81" s="406"/>
    </row>
    <row r="82" spans="1:15" ht="15" x14ac:dyDescent="0.25">
      <c r="A82" s="99"/>
      <c r="B82" s="99"/>
      <c r="C82" s="99"/>
      <c r="D82" s="99"/>
      <c r="E82" s="99"/>
      <c r="F82" s="99"/>
      <c r="G82" s="99"/>
      <c r="H82" s="388"/>
      <c r="I82" s="99"/>
      <c r="J82" s="406"/>
      <c r="K82" s="406"/>
      <c r="L82" s="406"/>
      <c r="M82" s="406"/>
      <c r="N82" s="406"/>
      <c r="O82" s="406"/>
    </row>
    <row r="83" spans="1:15" ht="15" x14ac:dyDescent="0.25">
      <c r="A83" s="99"/>
      <c r="B83" s="99"/>
      <c r="C83" s="99"/>
      <c r="D83" s="99"/>
      <c r="E83" s="99"/>
      <c r="F83" s="99"/>
      <c r="G83" s="99"/>
      <c r="H83" s="388"/>
      <c r="I83" s="99"/>
      <c r="J83" s="406"/>
      <c r="K83" s="406"/>
      <c r="L83" s="406"/>
      <c r="M83" s="406"/>
      <c r="N83" s="406"/>
      <c r="O83" s="406"/>
    </row>
    <row r="84" spans="1:15" ht="15" x14ac:dyDescent="0.25">
      <c r="A84" s="99"/>
      <c r="B84" s="99"/>
      <c r="C84" s="99"/>
      <c r="D84" s="99"/>
      <c r="E84" s="99"/>
      <c r="F84" s="99"/>
      <c r="G84" s="99"/>
      <c r="H84" s="388"/>
      <c r="I84" s="99"/>
      <c r="J84" s="406"/>
      <c r="K84" s="406"/>
      <c r="L84" s="406"/>
      <c r="M84" s="406"/>
      <c r="N84" s="406"/>
      <c r="O84" s="406"/>
    </row>
    <row r="85" spans="1:15" ht="15" x14ac:dyDescent="0.25">
      <c r="A85" s="99"/>
      <c r="B85" s="99"/>
      <c r="C85" s="99"/>
      <c r="D85" s="99"/>
      <c r="E85" s="99"/>
      <c r="F85" s="99"/>
      <c r="G85" s="99"/>
      <c r="H85" s="388"/>
      <c r="I85" s="99"/>
      <c r="J85" s="406"/>
      <c r="K85" s="406"/>
      <c r="L85" s="406"/>
      <c r="M85" s="406"/>
      <c r="N85" s="406"/>
      <c r="O85" s="406"/>
    </row>
    <row r="86" spans="1:15" ht="15" x14ac:dyDescent="0.25">
      <c r="A86" s="99"/>
      <c r="B86" s="99"/>
      <c r="C86" s="99"/>
      <c r="D86" s="99"/>
      <c r="E86" s="99"/>
      <c r="F86" s="99"/>
      <c r="G86" s="99"/>
      <c r="H86" s="388"/>
      <c r="I86" s="99"/>
      <c r="J86" s="406"/>
      <c r="K86" s="406"/>
      <c r="L86" s="406"/>
      <c r="M86" s="406"/>
      <c r="N86" s="406"/>
      <c r="O86" s="406"/>
    </row>
    <row r="87" spans="1:15" ht="15" x14ac:dyDescent="0.25">
      <c r="A87" s="99"/>
      <c r="B87" s="99"/>
      <c r="C87" s="99"/>
      <c r="D87" s="99"/>
      <c r="E87" s="99"/>
      <c r="F87" s="99"/>
      <c r="G87" s="99"/>
      <c r="H87" s="388"/>
      <c r="I87" s="99"/>
      <c r="J87" s="406"/>
      <c r="K87" s="406"/>
      <c r="L87" s="406"/>
      <c r="M87" s="406"/>
      <c r="N87" s="406"/>
      <c r="O87" s="406"/>
    </row>
    <row r="88" spans="1:15" ht="15" x14ac:dyDescent="0.25">
      <c r="A88" s="99"/>
      <c r="B88" s="99"/>
      <c r="C88" s="99"/>
      <c r="D88" s="99"/>
      <c r="E88" s="99"/>
      <c r="F88" s="99"/>
      <c r="G88" s="99"/>
      <c r="H88" s="388"/>
      <c r="I88" s="99"/>
      <c r="J88" s="406"/>
      <c r="K88" s="406"/>
      <c r="L88" s="406"/>
      <c r="M88" s="406"/>
      <c r="N88" s="406"/>
      <c r="O88" s="406"/>
    </row>
    <row r="89" spans="1:15" ht="15" x14ac:dyDescent="0.25">
      <c r="A89" s="99"/>
      <c r="B89" s="99"/>
      <c r="C89" s="99"/>
      <c r="D89" s="99"/>
      <c r="E89" s="99"/>
      <c r="F89" s="99"/>
      <c r="G89" s="99"/>
      <c r="H89" s="388"/>
      <c r="I89" s="99"/>
      <c r="J89" s="406"/>
      <c r="K89" s="406"/>
      <c r="L89" s="406"/>
      <c r="M89" s="406"/>
      <c r="N89" s="406"/>
      <c r="O89" s="406"/>
    </row>
    <row r="90" spans="1:15" ht="15" x14ac:dyDescent="0.25">
      <c r="A90" s="99"/>
      <c r="B90" s="99"/>
      <c r="C90" s="99"/>
      <c r="D90" s="99"/>
      <c r="E90" s="99"/>
      <c r="F90" s="99"/>
      <c r="G90" s="99"/>
      <c r="H90" s="388"/>
      <c r="I90" s="99"/>
      <c r="J90" s="406"/>
      <c r="K90" s="406"/>
      <c r="L90" s="406"/>
      <c r="M90" s="406"/>
      <c r="N90" s="406"/>
      <c r="O90" s="406"/>
    </row>
    <row r="91" spans="1:15" ht="15" x14ac:dyDescent="0.25">
      <c r="A91" s="99"/>
      <c r="B91" s="99"/>
      <c r="C91" s="99"/>
      <c r="D91" s="99"/>
      <c r="E91" s="99"/>
      <c r="F91" s="99"/>
      <c r="G91" s="99"/>
      <c r="H91" s="388"/>
      <c r="I91" s="99"/>
      <c r="J91" s="406"/>
      <c r="K91" s="406"/>
      <c r="L91" s="406"/>
      <c r="M91" s="406"/>
      <c r="N91" s="406"/>
      <c r="O91" s="406"/>
    </row>
    <row r="92" spans="1:15" ht="15" x14ac:dyDescent="0.25">
      <c r="A92" s="99"/>
      <c r="B92" s="99"/>
      <c r="C92" s="99"/>
      <c r="D92" s="99"/>
      <c r="E92" s="99"/>
      <c r="F92" s="99"/>
      <c r="G92" s="99"/>
      <c r="H92" s="388"/>
      <c r="I92" s="99"/>
      <c r="J92" s="406"/>
      <c r="K92" s="406"/>
      <c r="L92" s="406"/>
      <c r="M92" s="406"/>
      <c r="N92" s="406"/>
      <c r="O92" s="406"/>
    </row>
    <row r="93" spans="1:15" ht="15" x14ac:dyDescent="0.25">
      <c r="A93" s="99"/>
      <c r="B93" s="99"/>
      <c r="C93" s="99"/>
      <c r="D93" s="99"/>
      <c r="E93" s="99"/>
      <c r="F93" s="99"/>
      <c r="G93" s="99"/>
      <c r="H93" s="388"/>
      <c r="I93" s="99"/>
      <c r="J93" s="406"/>
      <c r="K93" s="406"/>
      <c r="L93" s="406"/>
      <c r="M93" s="406"/>
      <c r="N93" s="406"/>
      <c r="O93" s="406"/>
    </row>
    <row r="94" spans="1:15" ht="15" x14ac:dyDescent="0.25">
      <c r="A94" s="99"/>
      <c r="B94" s="99"/>
      <c r="C94" s="99"/>
      <c r="D94" s="99"/>
      <c r="E94" s="99"/>
      <c r="F94" s="99"/>
      <c r="G94" s="99"/>
      <c r="H94" s="388"/>
      <c r="I94" s="99"/>
      <c r="J94" s="406"/>
      <c r="K94" s="406"/>
      <c r="L94" s="406"/>
      <c r="M94" s="406"/>
      <c r="N94" s="406"/>
      <c r="O94" s="406"/>
    </row>
    <row r="95" spans="1:15" ht="15" x14ac:dyDescent="0.25">
      <c r="A95" s="99"/>
      <c r="B95" s="99"/>
      <c r="C95" s="99"/>
      <c r="D95" s="99"/>
      <c r="E95" s="99"/>
      <c r="F95" s="99"/>
      <c r="G95" s="99"/>
      <c r="H95" s="388"/>
      <c r="I95" s="99"/>
      <c r="J95" s="406"/>
      <c r="K95" s="406"/>
      <c r="L95" s="406"/>
      <c r="M95" s="406"/>
      <c r="N95" s="406"/>
      <c r="O95" s="406"/>
    </row>
    <row r="96" spans="1:15" ht="15" x14ac:dyDescent="0.25">
      <c r="A96" s="99"/>
      <c r="B96" s="99"/>
      <c r="C96" s="99"/>
      <c r="D96" s="99"/>
      <c r="E96" s="99"/>
      <c r="F96" s="99"/>
      <c r="G96" s="99"/>
      <c r="H96" s="388"/>
      <c r="I96" s="99"/>
      <c r="J96" s="406"/>
      <c r="K96" s="406"/>
      <c r="L96" s="406"/>
      <c r="M96" s="406"/>
      <c r="N96" s="406"/>
      <c r="O96" s="406"/>
    </row>
    <row r="97" spans="1:15" ht="15" x14ac:dyDescent="0.25">
      <c r="A97" s="99"/>
      <c r="B97" s="99"/>
      <c r="C97" s="99"/>
      <c r="D97" s="99"/>
      <c r="E97" s="99"/>
      <c r="F97" s="99"/>
      <c r="G97" s="99"/>
      <c r="H97" s="388"/>
      <c r="I97" s="99"/>
      <c r="J97" s="406"/>
      <c r="K97" s="406"/>
      <c r="L97" s="406"/>
      <c r="M97" s="406"/>
      <c r="N97" s="406"/>
      <c r="O97" s="406"/>
    </row>
    <row r="98" spans="1:15" ht="15" x14ac:dyDescent="0.25">
      <c r="A98" s="99"/>
      <c r="B98" s="99"/>
      <c r="C98" s="99"/>
      <c r="D98" s="99"/>
      <c r="E98" s="99"/>
      <c r="F98" s="99"/>
      <c r="G98" s="99"/>
      <c r="H98" s="388"/>
      <c r="I98" s="99"/>
      <c r="J98" s="406"/>
      <c r="K98" s="406"/>
      <c r="L98" s="406"/>
      <c r="M98" s="406"/>
      <c r="N98" s="406"/>
      <c r="O98" s="406"/>
    </row>
    <row r="99" spans="1:15" ht="15" x14ac:dyDescent="0.25">
      <c r="A99" s="99"/>
      <c r="B99" s="99"/>
      <c r="C99" s="99"/>
      <c r="D99" s="99"/>
      <c r="E99" s="99"/>
      <c r="F99" s="99"/>
      <c r="G99" s="99"/>
      <c r="H99" s="388"/>
      <c r="I99" s="99"/>
      <c r="J99" s="406"/>
      <c r="K99" s="406"/>
      <c r="L99" s="406"/>
      <c r="M99" s="406"/>
      <c r="N99" s="406"/>
      <c r="O99" s="406"/>
    </row>
    <row r="100" spans="1:15" ht="15.6" thickBot="1" x14ac:dyDescent="0.3">
      <c r="A100" s="99"/>
      <c r="B100" s="99"/>
      <c r="C100" s="99"/>
      <c r="D100" s="99"/>
      <c r="E100" s="99"/>
      <c r="F100" s="99"/>
      <c r="G100" s="99"/>
      <c r="H100" s="388"/>
      <c r="I100" s="99"/>
      <c r="J100" s="406"/>
      <c r="K100" s="406"/>
      <c r="L100" s="406"/>
      <c r="M100" s="406"/>
      <c r="N100" s="406"/>
      <c r="O100" s="406"/>
    </row>
    <row r="101" spans="1:15" ht="15" x14ac:dyDescent="0.25">
      <c r="A101" s="894" t="s">
        <v>195</v>
      </c>
      <c r="B101" s="895"/>
      <c r="C101" s="895"/>
      <c r="D101" s="895"/>
      <c r="E101" s="895"/>
      <c r="F101" s="896"/>
      <c r="G101" s="99"/>
      <c r="H101" s="388"/>
      <c r="I101" s="99"/>
      <c r="J101" s="406"/>
      <c r="K101" s="406"/>
      <c r="L101" s="406"/>
      <c r="M101" s="406"/>
      <c r="N101" s="406"/>
      <c r="O101" s="406"/>
    </row>
    <row r="102" spans="1:15" ht="15.6" thickBot="1" x14ac:dyDescent="0.3">
      <c r="A102" s="897"/>
      <c r="B102" s="898"/>
      <c r="C102" s="898"/>
      <c r="D102" s="898"/>
      <c r="E102" s="898"/>
      <c r="F102" s="899"/>
      <c r="G102" s="99"/>
      <c r="H102" s="388"/>
      <c r="I102" s="99"/>
      <c r="J102" s="406"/>
      <c r="K102" s="406"/>
      <c r="L102" s="406"/>
      <c r="M102" s="406"/>
      <c r="N102" s="406"/>
      <c r="O102" s="406"/>
    </row>
    <row r="103" spans="1:15" ht="15" x14ac:dyDescent="0.25">
      <c r="A103" s="162" t="s">
        <v>5</v>
      </c>
      <c r="B103" s="161" t="s">
        <v>6</v>
      </c>
      <c r="C103" s="161" t="s">
        <v>13</v>
      </c>
      <c r="D103" s="161" t="s">
        <v>82</v>
      </c>
      <c r="E103" s="161" t="s">
        <v>115</v>
      </c>
      <c r="F103" s="163" t="s">
        <v>116</v>
      </c>
      <c r="G103" s="99"/>
      <c r="H103" s="388"/>
      <c r="I103" s="99"/>
      <c r="J103" s="406"/>
      <c r="K103" s="406"/>
      <c r="L103" s="406"/>
      <c r="M103" s="406"/>
      <c r="N103" s="406"/>
      <c r="O103" s="406"/>
    </row>
    <row r="104" spans="1:15" ht="15" x14ac:dyDescent="0.25">
      <c r="A104" s="396" t="s">
        <v>239</v>
      </c>
      <c r="B104" s="106"/>
      <c r="C104" s="106"/>
      <c r="D104" s="106"/>
      <c r="E104" s="106"/>
      <c r="F104" s="107"/>
      <c r="G104" s="99"/>
      <c r="H104" s="388"/>
      <c r="I104" s="99"/>
      <c r="J104" s="406"/>
      <c r="K104" s="406"/>
      <c r="L104" s="406"/>
      <c r="M104" s="406"/>
      <c r="N104" s="406"/>
      <c r="O104" s="406"/>
    </row>
    <row r="105" spans="1:15" ht="15" x14ac:dyDescent="0.25">
      <c r="A105" s="396" t="s">
        <v>91</v>
      </c>
      <c r="B105" s="106" t="s">
        <v>190</v>
      </c>
      <c r="C105" s="106" t="s">
        <v>18</v>
      </c>
      <c r="D105" s="106" t="s">
        <v>8</v>
      </c>
      <c r="E105" s="106" t="s">
        <v>36</v>
      </c>
      <c r="F105" s="107" t="s">
        <v>29</v>
      </c>
      <c r="G105" s="99"/>
      <c r="H105" s="388"/>
      <c r="I105" s="99"/>
      <c r="J105" s="406"/>
      <c r="K105" s="406"/>
      <c r="L105" s="406"/>
      <c r="M105" s="406"/>
      <c r="N105" s="406"/>
      <c r="O105" s="406"/>
    </row>
    <row r="106" spans="1:15" ht="30" x14ac:dyDescent="0.25">
      <c r="A106" s="397" t="s">
        <v>27</v>
      </c>
      <c r="B106" s="106" t="s">
        <v>192</v>
      </c>
      <c r="C106" s="106" t="s">
        <v>15</v>
      </c>
      <c r="D106" s="106" t="s">
        <v>84</v>
      </c>
      <c r="E106" s="106" t="s">
        <v>35</v>
      </c>
      <c r="F106" s="107" t="s">
        <v>28</v>
      </c>
      <c r="G106" s="99"/>
      <c r="H106" s="388"/>
      <c r="I106" s="99"/>
      <c r="J106" s="406"/>
      <c r="K106" s="406"/>
      <c r="L106" s="406"/>
      <c r="M106" s="406"/>
      <c r="N106" s="406"/>
      <c r="O106" s="406"/>
    </row>
    <row r="107" spans="1:15" ht="30" x14ac:dyDescent="0.25">
      <c r="A107" s="397" t="s">
        <v>125</v>
      </c>
      <c r="B107" s="106" t="s">
        <v>191</v>
      </c>
      <c r="C107" s="106" t="s">
        <v>16</v>
      </c>
      <c r="D107" s="106"/>
      <c r="E107" s="106" t="s">
        <v>46</v>
      </c>
      <c r="F107" s="107" t="s">
        <v>34</v>
      </c>
      <c r="G107" s="99"/>
      <c r="H107" s="388"/>
      <c r="I107" s="99"/>
      <c r="J107" s="406"/>
      <c r="K107" s="406"/>
      <c r="L107" s="406"/>
      <c r="M107" s="406"/>
      <c r="N107" s="406"/>
      <c r="O107" s="406"/>
    </row>
    <row r="108" spans="1:15" ht="15" x14ac:dyDescent="0.25">
      <c r="A108" s="396" t="s">
        <v>128</v>
      </c>
      <c r="B108" s="106" t="s">
        <v>193</v>
      </c>
      <c r="C108" s="106" t="s">
        <v>20</v>
      </c>
      <c r="D108" s="106"/>
      <c r="E108" s="106" t="s">
        <v>142</v>
      </c>
      <c r="F108" s="107" t="s">
        <v>142</v>
      </c>
      <c r="G108" s="99"/>
      <c r="H108" s="388"/>
      <c r="I108" s="99"/>
      <c r="J108" s="406"/>
      <c r="K108" s="406"/>
      <c r="L108" s="406"/>
      <c r="M108" s="406"/>
      <c r="N108" s="406"/>
      <c r="O108" s="406"/>
    </row>
    <row r="109" spans="1:15" ht="15" x14ac:dyDescent="0.25">
      <c r="A109" s="397" t="s">
        <v>92</v>
      </c>
      <c r="B109" s="106"/>
      <c r="C109" s="106" t="s">
        <v>19</v>
      </c>
      <c r="D109" s="106"/>
      <c r="E109" s="106" t="s">
        <v>37</v>
      </c>
      <c r="F109" s="107" t="s">
        <v>30</v>
      </c>
      <c r="G109" s="99"/>
      <c r="H109" s="388"/>
      <c r="I109" s="99"/>
      <c r="J109" s="406"/>
      <c r="K109" s="406"/>
      <c r="L109" s="406"/>
      <c r="M109" s="406"/>
      <c r="N109" s="406"/>
      <c r="O109" s="406"/>
    </row>
    <row r="110" spans="1:15" ht="15" x14ac:dyDescent="0.25">
      <c r="A110" s="396" t="s">
        <v>308</v>
      </c>
      <c r="B110" s="106"/>
      <c r="C110" s="106" t="s">
        <v>21</v>
      </c>
      <c r="D110" s="106"/>
      <c r="E110" s="106" t="s">
        <v>117</v>
      </c>
      <c r="F110" s="107" t="s">
        <v>121</v>
      </c>
      <c r="G110" s="99"/>
      <c r="H110" s="388"/>
      <c r="I110" s="99"/>
      <c r="J110" s="406"/>
      <c r="K110" s="406"/>
      <c r="L110" s="406"/>
      <c r="M110" s="406"/>
      <c r="N110" s="406"/>
      <c r="O110" s="406"/>
    </row>
    <row r="111" spans="1:15" ht="15" x14ac:dyDescent="0.25">
      <c r="A111" s="396" t="s">
        <v>309</v>
      </c>
      <c r="B111" s="106"/>
      <c r="C111" s="106" t="s">
        <v>14</v>
      </c>
      <c r="D111" s="106"/>
      <c r="E111" s="106" t="s">
        <v>42</v>
      </c>
      <c r="F111" s="107" t="s">
        <v>40</v>
      </c>
      <c r="G111" s="99"/>
      <c r="H111" s="388"/>
      <c r="I111" s="99"/>
      <c r="J111" s="406"/>
      <c r="K111" s="406"/>
      <c r="L111" s="406"/>
      <c r="M111" s="406"/>
      <c r="N111" s="406"/>
      <c r="O111" s="406"/>
    </row>
    <row r="112" spans="1:15" ht="30" x14ac:dyDescent="0.25">
      <c r="A112" s="396" t="s">
        <v>307</v>
      </c>
      <c r="B112" s="106"/>
      <c r="C112" s="106" t="s">
        <v>17</v>
      </c>
      <c r="D112" s="106"/>
      <c r="E112" s="106" t="s">
        <v>38</v>
      </c>
      <c r="F112" s="107" t="s">
        <v>31</v>
      </c>
      <c r="G112" s="99"/>
      <c r="H112" s="388"/>
      <c r="I112" s="99"/>
      <c r="J112" s="406"/>
      <c r="K112" s="406"/>
      <c r="L112" s="406"/>
      <c r="M112" s="406"/>
      <c r="N112" s="406"/>
      <c r="O112" s="406"/>
    </row>
    <row r="113" spans="1:15" ht="15" x14ac:dyDescent="0.25">
      <c r="A113" s="397" t="s">
        <v>4</v>
      </c>
      <c r="B113" s="106"/>
      <c r="C113" s="106"/>
      <c r="D113" s="106"/>
      <c r="E113" s="106" t="s">
        <v>41</v>
      </c>
      <c r="F113" s="107" t="s">
        <v>39</v>
      </c>
      <c r="G113" s="99"/>
      <c r="H113" s="388"/>
      <c r="I113" s="99"/>
      <c r="J113" s="406"/>
      <c r="K113" s="406"/>
      <c r="L113" s="406"/>
      <c r="M113" s="406"/>
      <c r="N113" s="406"/>
      <c r="O113" s="406"/>
    </row>
    <row r="114" spans="1:15" ht="15" x14ac:dyDescent="0.25">
      <c r="A114" s="397" t="s">
        <v>126</v>
      </c>
      <c r="B114" s="106"/>
      <c r="C114" s="106"/>
      <c r="D114" s="106"/>
      <c r="E114" s="106" t="s">
        <v>43</v>
      </c>
      <c r="F114" s="107" t="s">
        <v>120</v>
      </c>
      <c r="G114" s="99"/>
      <c r="H114" s="388"/>
      <c r="I114" s="99"/>
      <c r="J114" s="406"/>
      <c r="K114" s="406"/>
      <c r="L114" s="406"/>
      <c r="M114" s="406"/>
      <c r="N114" s="406"/>
      <c r="O114" s="406"/>
    </row>
    <row r="115" spans="1:15" x14ac:dyDescent="0.25">
      <c r="A115" s="2" t="s">
        <v>238</v>
      </c>
      <c r="E115" s="2" t="s">
        <v>118</v>
      </c>
      <c r="F115" s="2" t="s">
        <v>122</v>
      </c>
    </row>
    <row r="116" spans="1:15" x14ac:dyDescent="0.25">
      <c r="A116" s="2" t="s">
        <v>183</v>
      </c>
      <c r="E116" s="2" t="s">
        <v>45</v>
      </c>
      <c r="F116" s="2" t="s">
        <v>32</v>
      </c>
    </row>
    <row r="117" spans="1:15" x14ac:dyDescent="0.25">
      <c r="E117" s="2" t="s">
        <v>44</v>
      </c>
    </row>
  </sheetData>
  <mergeCells count="7">
    <mergeCell ref="A101:F102"/>
    <mergeCell ref="A1:O1"/>
    <mergeCell ref="A3:O3"/>
    <mergeCell ref="A11:O11"/>
    <mergeCell ref="A35:O35"/>
    <mergeCell ref="A47:O47"/>
    <mergeCell ref="A48:F48"/>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12">
    <tabColor rgb="FFFF0000"/>
    <pageSetUpPr fitToPage="1"/>
  </sheetPr>
  <dimension ref="A1:R122"/>
  <sheetViews>
    <sheetView topLeftCell="H22" zoomScale="63" zoomScaleNormal="63" workbookViewId="0">
      <selection activeCell="DD94" sqref="DD94"/>
    </sheetView>
  </sheetViews>
  <sheetFormatPr defaultColWidth="8.77734375" defaultRowHeight="13.2" x14ac:dyDescent="0.25"/>
  <cols>
    <col min="1" max="7" width="26.44140625" customWidth="1"/>
    <col min="8" max="8" width="26.44140625" style="3" customWidth="1"/>
    <col min="9" max="9" width="26.44140625" style="2" customWidth="1"/>
    <col min="10" max="15" width="26.44140625" customWidth="1"/>
  </cols>
  <sheetData>
    <row r="1" spans="1:18" ht="18" thickBot="1" x14ac:dyDescent="0.3">
      <c r="A1" s="900" t="s">
        <v>189</v>
      </c>
      <c r="B1" s="900"/>
      <c r="C1" s="900"/>
      <c r="D1" s="900"/>
      <c r="E1" s="900"/>
      <c r="F1" s="900"/>
      <c r="G1" s="900"/>
      <c r="H1" s="900"/>
      <c r="I1" s="900"/>
      <c r="J1" s="900"/>
      <c r="K1" s="900"/>
      <c r="L1" s="900"/>
      <c r="M1" s="900"/>
      <c r="N1" s="900"/>
      <c r="O1" s="900"/>
    </row>
    <row r="2" spans="1:18" ht="17.399999999999999" x14ac:dyDescent="0.25">
      <c r="A2" s="299" t="s">
        <v>188</v>
      </c>
      <c r="B2" s="175">
        <v>41121</v>
      </c>
      <c r="C2" s="299"/>
      <c r="D2" s="299"/>
      <c r="E2" s="299"/>
      <c r="F2" s="299"/>
      <c r="G2" s="299"/>
      <c r="H2" s="381"/>
      <c r="I2" s="439"/>
      <c r="J2" s="299"/>
      <c r="K2" s="299"/>
      <c r="L2" s="299"/>
      <c r="M2" s="299"/>
      <c r="N2" s="299"/>
      <c r="O2" s="299"/>
    </row>
    <row r="3" spans="1:18" ht="15" x14ac:dyDescent="0.25">
      <c r="A3" s="901" t="s">
        <v>204</v>
      </c>
      <c r="B3" s="902"/>
      <c r="C3" s="902"/>
      <c r="D3" s="902"/>
      <c r="E3" s="902"/>
      <c r="F3" s="902"/>
      <c r="G3" s="902"/>
      <c r="H3" s="902"/>
      <c r="I3" s="902"/>
      <c r="J3" s="902"/>
      <c r="K3" s="902"/>
      <c r="L3" s="902"/>
      <c r="M3" s="902"/>
      <c r="N3" s="902"/>
      <c r="O3" s="903"/>
    </row>
    <row r="4" spans="1:18" ht="60" x14ac:dyDescent="0.25">
      <c r="A4" s="176" t="s">
        <v>89</v>
      </c>
      <c r="B4" s="176" t="s">
        <v>90</v>
      </c>
      <c r="C4" s="177" t="s">
        <v>0</v>
      </c>
      <c r="D4" s="177" t="s">
        <v>124</v>
      </c>
      <c r="E4" s="176" t="s">
        <v>143</v>
      </c>
      <c r="F4" s="176" t="s">
        <v>144</v>
      </c>
      <c r="G4" s="176" t="s">
        <v>13</v>
      </c>
      <c r="H4" s="382" t="s">
        <v>88</v>
      </c>
      <c r="I4" s="176" t="s">
        <v>12</v>
      </c>
      <c r="J4" s="176" t="s">
        <v>158</v>
      </c>
      <c r="K4" s="176" t="s">
        <v>148</v>
      </c>
      <c r="L4" s="176" t="s">
        <v>153</v>
      </c>
      <c r="M4" s="176" t="s">
        <v>104</v>
      </c>
      <c r="N4" s="176" t="s">
        <v>154</v>
      </c>
      <c r="O4" s="176" t="s">
        <v>205</v>
      </c>
      <c r="R4" s="398"/>
    </row>
    <row r="5" spans="1:18" ht="30" x14ac:dyDescent="0.25">
      <c r="A5" s="82" t="s">
        <v>84</v>
      </c>
      <c r="B5" s="322" t="s">
        <v>3</v>
      </c>
      <c r="C5" s="322" t="s">
        <v>1</v>
      </c>
      <c r="D5" s="322" t="s">
        <v>1</v>
      </c>
      <c r="E5" s="327" t="s">
        <v>120</v>
      </c>
      <c r="F5" s="327" t="s">
        <v>117</v>
      </c>
      <c r="G5" s="322" t="s">
        <v>14</v>
      </c>
      <c r="H5" s="85">
        <v>44423</v>
      </c>
      <c r="I5" s="322" t="s">
        <v>23</v>
      </c>
      <c r="J5" s="173">
        <v>143.66999999999999</v>
      </c>
      <c r="K5" s="173">
        <v>125.28</v>
      </c>
      <c r="L5" s="173">
        <f>N5-M5</f>
        <v>19.491039999999998</v>
      </c>
      <c r="M5" s="173">
        <v>2.0699999999999998</v>
      </c>
      <c r="N5" s="173">
        <v>21.561039999999998</v>
      </c>
      <c r="O5" s="288"/>
      <c r="Q5" s="293"/>
      <c r="R5" s="293"/>
    </row>
    <row r="6" spans="1:18" ht="30" x14ac:dyDescent="0.25">
      <c r="A6" s="90" t="s">
        <v>84</v>
      </c>
      <c r="B6" s="328" t="s">
        <v>3</v>
      </c>
      <c r="C6" s="328" t="s">
        <v>1</v>
      </c>
      <c r="D6" s="328" t="s">
        <v>1</v>
      </c>
      <c r="E6" s="329" t="s">
        <v>120</v>
      </c>
      <c r="F6" s="328" t="s">
        <v>117</v>
      </c>
      <c r="G6" s="328" t="s">
        <v>14</v>
      </c>
      <c r="H6" s="93">
        <v>44576</v>
      </c>
      <c r="I6" s="328" t="s">
        <v>24</v>
      </c>
      <c r="J6" s="174">
        <v>27.4</v>
      </c>
      <c r="K6" s="174">
        <v>26.9575</v>
      </c>
      <c r="L6" s="174">
        <f t="shared" ref="L6:L8" si="0">N6-M6</f>
        <v>5.0102500000000001</v>
      </c>
      <c r="M6" s="174">
        <v>7.5999999999999998E-2</v>
      </c>
      <c r="N6" s="174">
        <v>5.0862499999999997</v>
      </c>
      <c r="O6" s="289"/>
      <c r="R6" s="293"/>
    </row>
    <row r="7" spans="1:18" ht="30" x14ac:dyDescent="0.25">
      <c r="A7" s="82" t="s">
        <v>84</v>
      </c>
      <c r="B7" s="322" t="s">
        <v>3</v>
      </c>
      <c r="C7" s="322" t="s">
        <v>194</v>
      </c>
      <c r="D7" s="322" t="s">
        <v>194</v>
      </c>
      <c r="E7" s="327" t="s">
        <v>39</v>
      </c>
      <c r="F7" s="327" t="s">
        <v>38</v>
      </c>
      <c r="G7" s="322" t="s">
        <v>14</v>
      </c>
      <c r="H7" s="85">
        <v>44576</v>
      </c>
      <c r="I7" s="322" t="s">
        <v>24</v>
      </c>
      <c r="J7" s="173">
        <v>26.85</v>
      </c>
      <c r="K7" s="173">
        <v>26.47</v>
      </c>
      <c r="L7" s="173">
        <f t="shared" si="0"/>
        <v>4.9118599999999999</v>
      </c>
      <c r="M7" s="173">
        <v>7.4999999999999997E-2</v>
      </c>
      <c r="N7" s="173">
        <v>4.9868600000000001</v>
      </c>
      <c r="O7" s="288"/>
      <c r="R7" s="293"/>
    </row>
    <row r="8" spans="1:18" ht="30" x14ac:dyDescent="0.25">
      <c r="A8" s="90" t="s">
        <v>84</v>
      </c>
      <c r="B8" s="328" t="s">
        <v>3</v>
      </c>
      <c r="C8" s="328" t="s">
        <v>11</v>
      </c>
      <c r="D8" s="328" t="s">
        <v>125</v>
      </c>
      <c r="E8" s="329" t="s">
        <v>39</v>
      </c>
      <c r="F8" s="328" t="s">
        <v>42</v>
      </c>
      <c r="G8" s="328" t="s">
        <v>14</v>
      </c>
      <c r="H8" s="93">
        <v>46296</v>
      </c>
      <c r="I8" s="328" t="s">
        <v>25</v>
      </c>
      <c r="J8" s="174">
        <v>40.880000000000003</v>
      </c>
      <c r="K8" s="174">
        <v>39.75</v>
      </c>
      <c r="L8" s="174">
        <f t="shared" si="0"/>
        <v>7.45</v>
      </c>
      <c r="M8" s="174">
        <v>0.1</v>
      </c>
      <c r="N8" s="174">
        <v>7.55</v>
      </c>
      <c r="O8" s="289"/>
      <c r="R8" s="293"/>
    </row>
    <row r="9" spans="1:18" ht="15" x14ac:dyDescent="0.25">
      <c r="A9" s="98"/>
      <c r="B9" s="111"/>
      <c r="C9" s="111"/>
      <c r="D9" s="111"/>
      <c r="E9" s="123"/>
      <c r="F9" s="111"/>
      <c r="G9" s="111"/>
      <c r="H9" s="114"/>
      <c r="I9" s="111"/>
      <c r="J9" s="189"/>
      <c r="K9" s="189"/>
      <c r="L9" s="189"/>
      <c r="M9" s="189" t="s">
        <v>75</v>
      </c>
      <c r="N9" s="190"/>
      <c r="O9" s="190"/>
    </row>
    <row r="10" spans="1:18" ht="15" x14ac:dyDescent="0.25">
      <c r="A10" s="90"/>
      <c r="B10" s="91"/>
      <c r="C10" s="91"/>
      <c r="D10" s="91"/>
      <c r="E10" s="92"/>
      <c r="F10" s="91"/>
      <c r="G10" s="91"/>
      <c r="H10" s="93"/>
      <c r="I10" s="328"/>
      <c r="J10" s="174"/>
      <c r="K10" s="174"/>
      <c r="L10" s="174"/>
      <c r="M10" s="174"/>
      <c r="N10" s="289"/>
      <c r="O10" s="289"/>
    </row>
    <row r="11" spans="1:18" ht="15" x14ac:dyDescent="0.25">
      <c r="A11" s="901" t="s">
        <v>203</v>
      </c>
      <c r="B11" s="902"/>
      <c r="C11" s="902"/>
      <c r="D11" s="902"/>
      <c r="E11" s="902"/>
      <c r="F11" s="902"/>
      <c r="G11" s="902"/>
      <c r="H11" s="902"/>
      <c r="I11" s="902"/>
      <c r="J11" s="902"/>
      <c r="K11" s="902"/>
      <c r="L11" s="902"/>
      <c r="M11" s="902"/>
      <c r="N11" s="902"/>
      <c r="O11" s="903"/>
    </row>
    <row r="12" spans="1:18" ht="60" x14ac:dyDescent="0.25">
      <c r="A12" s="176" t="s">
        <v>89</v>
      </c>
      <c r="B12" s="176" t="s">
        <v>90</v>
      </c>
      <c r="C12" s="177" t="s">
        <v>0</v>
      </c>
      <c r="D12" s="180" t="s">
        <v>124</v>
      </c>
      <c r="E12" s="176" t="s">
        <v>143</v>
      </c>
      <c r="F12" s="176" t="s">
        <v>144</v>
      </c>
      <c r="G12" s="176" t="s">
        <v>13</v>
      </c>
      <c r="H12" s="382" t="s">
        <v>88</v>
      </c>
      <c r="I12" s="176" t="s">
        <v>12</v>
      </c>
      <c r="J12" s="176" t="s">
        <v>150</v>
      </c>
      <c r="K12" s="176" t="s">
        <v>151</v>
      </c>
      <c r="L12" s="176" t="s">
        <v>157</v>
      </c>
      <c r="M12" s="176" t="s">
        <v>149</v>
      </c>
      <c r="N12" s="176" t="s">
        <v>154</v>
      </c>
      <c r="O12" s="176" t="s">
        <v>205</v>
      </c>
    </row>
    <row r="13" spans="1:18" ht="15" x14ac:dyDescent="0.25">
      <c r="A13" s="184" t="s">
        <v>197</v>
      </c>
      <c r="B13" s="184"/>
      <c r="C13" s="185"/>
      <c r="D13" s="185"/>
      <c r="E13" s="184"/>
      <c r="F13" s="184"/>
      <c r="G13" s="184"/>
      <c r="H13" s="383"/>
      <c r="I13" s="184"/>
      <c r="J13" s="184"/>
      <c r="K13" s="184"/>
      <c r="L13" s="184"/>
      <c r="M13" s="184"/>
      <c r="N13" s="184"/>
      <c r="O13" s="186"/>
    </row>
    <row r="14" spans="1:18" ht="30" x14ac:dyDescent="0.25">
      <c r="A14" s="90" t="s">
        <v>84</v>
      </c>
      <c r="B14" s="328" t="s">
        <v>7</v>
      </c>
      <c r="C14" s="328" t="s">
        <v>239</v>
      </c>
      <c r="D14" s="328" t="s">
        <v>238</v>
      </c>
      <c r="E14" s="329" t="s">
        <v>32</v>
      </c>
      <c r="F14" s="328" t="s">
        <v>118</v>
      </c>
      <c r="G14" s="328" t="s">
        <v>22</v>
      </c>
      <c r="H14" s="93">
        <v>41090</v>
      </c>
      <c r="I14" s="328" t="s">
        <v>176</v>
      </c>
      <c r="J14" s="289">
        <v>0</v>
      </c>
      <c r="K14" s="289">
        <v>0</v>
      </c>
      <c r="L14" s="289">
        <f>J14+K14</f>
        <v>0</v>
      </c>
      <c r="M14" s="289"/>
      <c r="N14" s="289"/>
      <c r="O14" s="289"/>
    </row>
    <row r="15" spans="1:18" ht="30" x14ac:dyDescent="0.25">
      <c r="A15" s="82" t="s">
        <v>8</v>
      </c>
      <c r="B15" s="322" t="s">
        <v>7</v>
      </c>
      <c r="C15" s="322" t="s">
        <v>239</v>
      </c>
      <c r="D15" s="322" t="s">
        <v>238</v>
      </c>
      <c r="E15" s="327" t="s">
        <v>32</v>
      </c>
      <c r="F15" s="327" t="s">
        <v>118</v>
      </c>
      <c r="G15" s="322" t="s">
        <v>22</v>
      </c>
      <c r="H15" s="85">
        <v>41455</v>
      </c>
      <c r="I15" s="322" t="s">
        <v>131</v>
      </c>
      <c r="J15" s="288">
        <v>26.57</v>
      </c>
      <c r="K15" s="288">
        <v>-1.68</v>
      </c>
      <c r="L15" s="288">
        <f t="shared" ref="L15:L18" si="1">J15+K15</f>
        <v>24.89</v>
      </c>
      <c r="M15" s="288"/>
      <c r="N15" s="288"/>
      <c r="O15" s="288"/>
    </row>
    <row r="16" spans="1:18" ht="30" x14ac:dyDescent="0.25">
      <c r="A16" s="90" t="s">
        <v>8</v>
      </c>
      <c r="B16" s="90" t="s">
        <v>193</v>
      </c>
      <c r="C16" s="90" t="s">
        <v>239</v>
      </c>
      <c r="D16" s="90" t="s">
        <v>238</v>
      </c>
      <c r="E16" s="328" t="s">
        <v>32</v>
      </c>
      <c r="F16" s="328" t="s">
        <v>118</v>
      </c>
      <c r="G16" s="90" t="s">
        <v>22</v>
      </c>
      <c r="H16" s="385">
        <v>41820</v>
      </c>
      <c r="I16" s="328" t="s">
        <v>132</v>
      </c>
      <c r="J16" s="379">
        <v>17.100000000000001</v>
      </c>
      <c r="K16" s="379">
        <v>0</v>
      </c>
      <c r="L16" s="379">
        <f t="shared" si="1"/>
        <v>17.100000000000001</v>
      </c>
      <c r="M16" s="379"/>
      <c r="N16" s="379"/>
      <c r="O16" s="379"/>
    </row>
    <row r="17" spans="1:15" ht="30" x14ac:dyDescent="0.25">
      <c r="A17" s="82" t="s">
        <v>8</v>
      </c>
      <c r="B17" s="82" t="s">
        <v>193</v>
      </c>
      <c r="C17" s="82" t="s">
        <v>239</v>
      </c>
      <c r="D17" s="82" t="s">
        <v>238</v>
      </c>
      <c r="E17" s="322" t="s">
        <v>32</v>
      </c>
      <c r="F17" s="322" t="s">
        <v>118</v>
      </c>
      <c r="G17" s="82" t="s">
        <v>22</v>
      </c>
      <c r="H17" s="386">
        <v>42185</v>
      </c>
      <c r="I17" s="322" t="s">
        <v>133</v>
      </c>
      <c r="J17" s="380">
        <v>12.19</v>
      </c>
      <c r="K17" s="380">
        <v>0</v>
      </c>
      <c r="L17" s="380">
        <f t="shared" si="1"/>
        <v>12.19</v>
      </c>
      <c r="M17" s="380"/>
      <c r="N17" s="380"/>
      <c r="O17" s="380"/>
    </row>
    <row r="18" spans="1:15" ht="30" x14ac:dyDescent="0.25">
      <c r="A18" s="90" t="s">
        <v>8</v>
      </c>
      <c r="B18" s="90" t="s">
        <v>193</v>
      </c>
      <c r="C18" s="90" t="s">
        <v>239</v>
      </c>
      <c r="D18" s="90" t="s">
        <v>238</v>
      </c>
      <c r="E18" s="328" t="s">
        <v>32</v>
      </c>
      <c r="F18" s="328" t="s">
        <v>118</v>
      </c>
      <c r="G18" s="90" t="s">
        <v>22</v>
      </c>
      <c r="H18" s="385">
        <v>42551</v>
      </c>
      <c r="I18" s="328" t="s">
        <v>300</v>
      </c>
      <c r="J18" s="379">
        <v>0.03</v>
      </c>
      <c r="K18" s="379">
        <v>0</v>
      </c>
      <c r="L18" s="379">
        <f t="shared" si="1"/>
        <v>0.03</v>
      </c>
      <c r="M18" s="379"/>
      <c r="N18" s="379"/>
      <c r="O18" s="379"/>
    </row>
    <row r="19" spans="1:15" ht="27.75" customHeight="1" x14ac:dyDescent="0.25">
      <c r="A19" s="181" t="s">
        <v>295</v>
      </c>
      <c r="B19" s="181"/>
      <c r="C19" s="181"/>
      <c r="D19" s="181"/>
      <c r="E19" s="182"/>
      <c r="F19" s="181"/>
      <c r="G19" s="181"/>
      <c r="H19" s="183" t="s">
        <v>206</v>
      </c>
      <c r="I19" s="181"/>
      <c r="J19" s="290">
        <f>SUM(J14:J18)</f>
        <v>55.89</v>
      </c>
      <c r="K19" s="290">
        <f>SUM(K14:K18)</f>
        <v>-1.68</v>
      </c>
      <c r="L19" s="290">
        <f t="shared" ref="L19" si="2">SUM(L14:L18)</f>
        <v>54.21</v>
      </c>
      <c r="M19" s="290">
        <f>L19-N19</f>
        <v>43.120000000000005</v>
      </c>
      <c r="N19" s="290">
        <v>11.09</v>
      </c>
      <c r="O19" s="290">
        <v>35</v>
      </c>
    </row>
    <row r="20" spans="1:15" ht="27.75" customHeight="1" x14ac:dyDescent="0.25">
      <c r="A20" s="181"/>
      <c r="B20" s="181"/>
      <c r="C20" s="181"/>
      <c r="D20" s="181"/>
      <c r="E20" s="182"/>
      <c r="F20" s="181"/>
      <c r="G20" s="181"/>
      <c r="H20" s="183"/>
      <c r="I20" s="181"/>
      <c r="J20" s="290"/>
      <c r="K20" s="290"/>
      <c r="L20" s="290"/>
      <c r="M20" s="290"/>
      <c r="N20" s="290"/>
      <c r="O20" s="290"/>
    </row>
    <row r="21" spans="1:15" ht="15" x14ac:dyDescent="0.25">
      <c r="A21" s="184" t="s">
        <v>198</v>
      </c>
      <c r="B21" s="184"/>
      <c r="C21" s="185"/>
      <c r="D21" s="185"/>
      <c r="E21" s="184"/>
      <c r="F21" s="184"/>
      <c r="G21" s="184"/>
      <c r="H21" s="383"/>
      <c r="I21" s="184"/>
      <c r="J21" s="184"/>
      <c r="K21" s="184"/>
      <c r="L21" s="184"/>
      <c r="M21" s="184"/>
      <c r="N21" s="184"/>
      <c r="O21" s="186"/>
    </row>
    <row r="22" spans="1:15" ht="30" x14ac:dyDescent="0.25">
      <c r="A22" s="90" t="s">
        <v>8</v>
      </c>
      <c r="B22" s="90" t="s">
        <v>7</v>
      </c>
      <c r="C22" s="90" t="s">
        <v>27</v>
      </c>
      <c r="D22" s="90" t="s">
        <v>127</v>
      </c>
      <c r="E22" s="328" t="s">
        <v>33</v>
      </c>
      <c r="F22" s="328" t="s">
        <v>45</v>
      </c>
      <c r="G22" s="90" t="s">
        <v>22</v>
      </c>
      <c r="H22" s="385">
        <v>41090</v>
      </c>
      <c r="I22" s="328" t="s">
        <v>135</v>
      </c>
      <c r="J22" s="379">
        <v>0</v>
      </c>
      <c r="K22" s="379">
        <v>0</v>
      </c>
      <c r="L22" s="379">
        <f t="shared" ref="L22:L31" si="3">J22+K22</f>
        <v>0</v>
      </c>
      <c r="M22" s="379"/>
      <c r="N22" s="379"/>
      <c r="O22" s="379"/>
    </row>
    <row r="23" spans="1:15" ht="30" x14ac:dyDescent="0.25">
      <c r="A23" s="82" t="s">
        <v>8</v>
      </c>
      <c r="B23" s="82" t="s">
        <v>7</v>
      </c>
      <c r="C23" s="82" t="s">
        <v>92</v>
      </c>
      <c r="D23" s="82" t="s">
        <v>128</v>
      </c>
      <c r="E23" s="322" t="s">
        <v>33</v>
      </c>
      <c r="F23" s="322" t="s">
        <v>45</v>
      </c>
      <c r="G23" s="82" t="s">
        <v>22</v>
      </c>
      <c r="H23" s="386">
        <v>41090</v>
      </c>
      <c r="I23" s="322" t="s">
        <v>136</v>
      </c>
      <c r="J23" s="380">
        <v>0</v>
      </c>
      <c r="K23" s="380">
        <v>0</v>
      </c>
      <c r="L23" s="380">
        <f t="shared" si="3"/>
        <v>0</v>
      </c>
      <c r="M23" s="380"/>
      <c r="N23" s="380"/>
      <c r="O23" s="380"/>
    </row>
    <row r="24" spans="1:15" ht="30" x14ac:dyDescent="0.25">
      <c r="A24" s="90" t="s">
        <v>8</v>
      </c>
      <c r="B24" s="90" t="s">
        <v>7</v>
      </c>
      <c r="C24" s="90" t="s">
        <v>27</v>
      </c>
      <c r="D24" s="90" t="s">
        <v>127</v>
      </c>
      <c r="E24" s="328" t="s">
        <v>33</v>
      </c>
      <c r="F24" s="328" t="s">
        <v>45</v>
      </c>
      <c r="G24" s="90" t="s">
        <v>22</v>
      </c>
      <c r="H24" s="385">
        <v>41455</v>
      </c>
      <c r="I24" s="328" t="s">
        <v>137</v>
      </c>
      <c r="J24" s="379">
        <v>5.25</v>
      </c>
      <c r="K24" s="379">
        <v>-0.71</v>
      </c>
      <c r="L24" s="379">
        <f t="shared" si="3"/>
        <v>4.54</v>
      </c>
      <c r="M24" s="379"/>
      <c r="N24" s="379"/>
      <c r="O24" s="379"/>
    </row>
    <row r="25" spans="1:15" ht="30" x14ac:dyDescent="0.25">
      <c r="A25" s="82" t="s">
        <v>84</v>
      </c>
      <c r="B25" s="82" t="s">
        <v>7</v>
      </c>
      <c r="C25" s="82" t="s">
        <v>92</v>
      </c>
      <c r="D25" s="82" t="s">
        <v>128</v>
      </c>
      <c r="E25" s="322" t="s">
        <v>33</v>
      </c>
      <c r="F25" s="322" t="s">
        <v>45</v>
      </c>
      <c r="G25" s="82" t="s">
        <v>22</v>
      </c>
      <c r="H25" s="386">
        <v>41455</v>
      </c>
      <c r="I25" s="322" t="s">
        <v>137</v>
      </c>
      <c r="J25" s="380">
        <v>0.03</v>
      </c>
      <c r="K25" s="380">
        <v>0</v>
      </c>
      <c r="L25" s="380">
        <f t="shared" si="3"/>
        <v>0.03</v>
      </c>
      <c r="M25" s="380"/>
      <c r="N25" s="380"/>
      <c r="O25" s="380"/>
    </row>
    <row r="26" spans="1:15" ht="30" x14ac:dyDescent="0.25">
      <c r="A26" s="90" t="s">
        <v>84</v>
      </c>
      <c r="B26" s="90" t="s">
        <v>7</v>
      </c>
      <c r="C26" s="90" t="s">
        <v>27</v>
      </c>
      <c r="D26" s="90" t="s">
        <v>127</v>
      </c>
      <c r="E26" s="328" t="s">
        <v>33</v>
      </c>
      <c r="F26" s="328" t="s">
        <v>45</v>
      </c>
      <c r="G26" s="90" t="s">
        <v>22</v>
      </c>
      <c r="H26" s="385">
        <v>41820</v>
      </c>
      <c r="I26" s="328" t="s">
        <v>138</v>
      </c>
      <c r="J26" s="379">
        <v>0.92</v>
      </c>
      <c r="K26" s="379">
        <v>0</v>
      </c>
      <c r="L26" s="379">
        <f t="shared" si="3"/>
        <v>0.92</v>
      </c>
      <c r="M26" s="379"/>
      <c r="N26" s="379"/>
      <c r="O26" s="379"/>
    </row>
    <row r="27" spans="1:15" ht="30" x14ac:dyDescent="0.25">
      <c r="A27" s="82" t="s">
        <v>8</v>
      </c>
      <c r="B27" s="82" t="s">
        <v>7</v>
      </c>
      <c r="C27" s="82" t="s">
        <v>92</v>
      </c>
      <c r="D27" s="82" t="s">
        <v>128</v>
      </c>
      <c r="E27" s="322" t="s">
        <v>33</v>
      </c>
      <c r="F27" s="322" t="s">
        <v>45</v>
      </c>
      <c r="G27" s="82" t="s">
        <v>22</v>
      </c>
      <c r="H27" s="386">
        <v>41820</v>
      </c>
      <c r="I27" s="322" t="s">
        <v>138</v>
      </c>
      <c r="J27" s="380">
        <v>0.22</v>
      </c>
      <c r="K27" s="380">
        <v>0</v>
      </c>
      <c r="L27" s="380">
        <f t="shared" si="3"/>
        <v>0.22</v>
      </c>
      <c r="M27" s="380"/>
      <c r="N27" s="380"/>
      <c r="O27" s="380"/>
    </row>
    <row r="28" spans="1:15" ht="30" x14ac:dyDescent="0.25">
      <c r="A28" s="90" t="s">
        <v>8</v>
      </c>
      <c r="B28" s="90" t="s">
        <v>7</v>
      </c>
      <c r="C28" s="90" t="s">
        <v>27</v>
      </c>
      <c r="D28" s="90" t="s">
        <v>127</v>
      </c>
      <c r="E28" s="328" t="s">
        <v>33</v>
      </c>
      <c r="F28" s="328" t="s">
        <v>45</v>
      </c>
      <c r="G28" s="90" t="s">
        <v>22</v>
      </c>
      <c r="H28" s="385">
        <v>42185</v>
      </c>
      <c r="I28" s="328" t="s">
        <v>139</v>
      </c>
      <c r="J28" s="379">
        <v>0</v>
      </c>
      <c r="K28" s="379">
        <v>0</v>
      </c>
      <c r="L28" s="379">
        <f t="shared" si="3"/>
        <v>0</v>
      </c>
      <c r="M28" s="379"/>
      <c r="N28" s="379"/>
      <c r="O28" s="379"/>
    </row>
    <row r="29" spans="1:15" ht="30" x14ac:dyDescent="0.25">
      <c r="A29" s="82" t="s">
        <v>8</v>
      </c>
      <c r="B29" s="82" t="s">
        <v>7</v>
      </c>
      <c r="C29" s="82" t="s">
        <v>92</v>
      </c>
      <c r="D29" s="82" t="s">
        <v>128</v>
      </c>
      <c r="E29" s="322" t="s">
        <v>33</v>
      </c>
      <c r="F29" s="322" t="s">
        <v>45</v>
      </c>
      <c r="G29" s="82" t="s">
        <v>22</v>
      </c>
      <c r="H29" s="386">
        <v>42185</v>
      </c>
      <c r="I29" s="322" t="s">
        <v>139</v>
      </c>
      <c r="J29" s="380">
        <v>0</v>
      </c>
      <c r="K29" s="380">
        <v>0</v>
      </c>
      <c r="L29" s="380">
        <f t="shared" si="3"/>
        <v>0</v>
      </c>
      <c r="M29" s="380"/>
      <c r="N29" s="380"/>
      <c r="O29" s="380"/>
    </row>
    <row r="30" spans="1:15" ht="30" x14ac:dyDescent="0.25">
      <c r="A30" s="90" t="s">
        <v>8</v>
      </c>
      <c r="B30" s="90" t="s">
        <v>7</v>
      </c>
      <c r="C30" s="90" t="s">
        <v>27</v>
      </c>
      <c r="D30" s="90" t="s">
        <v>127</v>
      </c>
      <c r="E30" s="328" t="s">
        <v>33</v>
      </c>
      <c r="F30" s="328" t="s">
        <v>45</v>
      </c>
      <c r="G30" s="90" t="s">
        <v>22</v>
      </c>
      <c r="H30" s="385">
        <v>42551</v>
      </c>
      <c r="I30" s="328" t="s">
        <v>301</v>
      </c>
      <c r="J30" s="379">
        <v>0</v>
      </c>
      <c r="K30" s="379">
        <v>0</v>
      </c>
      <c r="L30" s="379">
        <f t="shared" si="3"/>
        <v>0</v>
      </c>
      <c r="M30" s="379"/>
      <c r="N30" s="379"/>
      <c r="O30" s="379"/>
    </row>
    <row r="31" spans="1:15" ht="30" x14ac:dyDescent="0.25">
      <c r="A31" s="82" t="s">
        <v>8</v>
      </c>
      <c r="B31" s="82" t="s">
        <v>7</v>
      </c>
      <c r="C31" s="82" t="s">
        <v>92</v>
      </c>
      <c r="D31" s="82" t="s">
        <v>128</v>
      </c>
      <c r="E31" s="322" t="s">
        <v>33</v>
      </c>
      <c r="F31" s="322" t="s">
        <v>45</v>
      </c>
      <c r="G31" s="82" t="s">
        <v>22</v>
      </c>
      <c r="H31" s="386">
        <v>42551</v>
      </c>
      <c r="I31" s="322" t="s">
        <v>301</v>
      </c>
      <c r="J31" s="380">
        <v>0</v>
      </c>
      <c r="K31" s="380">
        <v>0</v>
      </c>
      <c r="L31" s="380">
        <f t="shared" si="3"/>
        <v>0</v>
      </c>
      <c r="M31" s="380"/>
      <c r="N31" s="380"/>
      <c r="O31" s="380"/>
    </row>
    <row r="32" spans="1:15" ht="30" x14ac:dyDescent="0.25">
      <c r="A32" s="181" t="s">
        <v>296</v>
      </c>
      <c r="B32" s="181"/>
      <c r="C32" s="181"/>
      <c r="D32" s="181"/>
      <c r="E32" s="182"/>
      <c r="F32" s="181"/>
      <c r="G32" s="181"/>
      <c r="H32" s="183" t="s">
        <v>206</v>
      </c>
      <c r="I32" s="181"/>
      <c r="J32" s="290">
        <f>SUM(J22:J31)</f>
        <v>6.42</v>
      </c>
      <c r="K32" s="290">
        <f>SUM(K22:K31)</f>
        <v>-0.71</v>
      </c>
      <c r="L32" s="290">
        <f>SUM(L22:L31)</f>
        <v>5.71</v>
      </c>
      <c r="M32" s="290">
        <f>L32-N32</f>
        <v>4.9800000000000004</v>
      </c>
      <c r="N32" s="290">
        <v>0.73</v>
      </c>
      <c r="O32" s="290">
        <v>0</v>
      </c>
    </row>
    <row r="33" spans="1:15" ht="15" x14ac:dyDescent="0.25">
      <c r="A33" s="181"/>
      <c r="B33" s="181"/>
      <c r="C33" s="181"/>
      <c r="D33" s="181"/>
      <c r="E33" s="182"/>
      <c r="F33" s="181"/>
      <c r="G33" s="181"/>
      <c r="H33" s="183"/>
      <c r="I33" s="181"/>
      <c r="J33" s="290"/>
      <c r="K33" s="290"/>
      <c r="L33" s="290"/>
      <c r="M33" s="290"/>
      <c r="N33" s="290"/>
      <c r="O33" s="290"/>
    </row>
    <row r="34" spans="1:15" ht="15" x14ac:dyDescent="0.25">
      <c r="A34" s="184" t="s">
        <v>298</v>
      </c>
      <c r="B34" s="184"/>
      <c r="C34" s="185"/>
      <c r="D34" s="185"/>
      <c r="E34" s="184"/>
      <c r="F34" s="184"/>
      <c r="G34" s="184"/>
      <c r="H34" s="383"/>
      <c r="I34" s="184"/>
      <c r="J34" s="184"/>
      <c r="K34" s="184"/>
      <c r="L34" s="184"/>
      <c r="M34" s="184"/>
      <c r="N34" s="184"/>
      <c r="O34" s="186"/>
    </row>
    <row r="35" spans="1:15" ht="15" x14ac:dyDescent="0.25">
      <c r="A35" s="906"/>
      <c r="B35" s="907"/>
      <c r="C35" s="907"/>
      <c r="D35" s="907"/>
      <c r="E35" s="907"/>
      <c r="F35" s="907"/>
      <c r="G35" s="907"/>
      <c r="H35" s="907"/>
      <c r="I35" s="907"/>
      <c r="J35" s="907"/>
      <c r="K35" s="907"/>
      <c r="L35" s="907"/>
      <c r="M35" s="907"/>
      <c r="N35" s="907"/>
      <c r="O35" s="908"/>
    </row>
    <row r="36" spans="1:15" ht="60" x14ac:dyDescent="0.25">
      <c r="A36" s="176" t="s">
        <v>89</v>
      </c>
      <c r="B36" s="176" t="s">
        <v>90</v>
      </c>
      <c r="C36" s="177" t="s">
        <v>0</v>
      </c>
      <c r="D36" s="177" t="s">
        <v>124</v>
      </c>
      <c r="E36" s="176" t="s">
        <v>143</v>
      </c>
      <c r="F36" s="176" t="s">
        <v>144</v>
      </c>
      <c r="G36" s="176" t="s">
        <v>13</v>
      </c>
      <c r="H36" s="382" t="s">
        <v>88</v>
      </c>
      <c r="I36" s="176" t="s">
        <v>12</v>
      </c>
      <c r="J36" s="176" t="s">
        <v>200</v>
      </c>
      <c r="K36" s="176" t="s">
        <v>199</v>
      </c>
      <c r="L36" s="176" t="s">
        <v>201</v>
      </c>
      <c r="M36" s="176" t="s">
        <v>149</v>
      </c>
      <c r="N36" s="176" t="s">
        <v>154</v>
      </c>
      <c r="O36" s="176" t="s">
        <v>304</v>
      </c>
    </row>
    <row r="37" spans="1:15" ht="30" x14ac:dyDescent="0.25">
      <c r="A37" s="90" t="s">
        <v>84</v>
      </c>
      <c r="B37" s="328" t="s">
        <v>9</v>
      </c>
      <c r="C37" s="328" t="s">
        <v>183</v>
      </c>
      <c r="D37" s="328" t="s">
        <v>142</v>
      </c>
      <c r="E37" s="329" t="s">
        <v>142</v>
      </c>
      <c r="F37" s="328" t="s">
        <v>142</v>
      </c>
      <c r="G37" s="328" t="s">
        <v>22</v>
      </c>
      <c r="H37" s="93">
        <v>41449</v>
      </c>
      <c r="I37" s="328" t="s">
        <v>172</v>
      </c>
      <c r="J37" s="292">
        <v>7.0349999999999996E-2</v>
      </c>
      <c r="K37" s="292" t="s">
        <v>299</v>
      </c>
      <c r="L37" s="292">
        <v>7.0349999999999996E-2</v>
      </c>
      <c r="M37" s="292">
        <f>+O37*50000/1000000</f>
        <v>6.1499999999999999E-2</v>
      </c>
      <c r="N37" s="292">
        <f>IF(M37-L37&lt;0,0,M37-L37)</f>
        <v>0</v>
      </c>
      <c r="O37" s="292">
        <v>1.23</v>
      </c>
    </row>
    <row r="38" spans="1:15" ht="30" x14ac:dyDescent="0.25">
      <c r="A38" s="98" t="s">
        <v>297</v>
      </c>
      <c r="B38" s="77"/>
      <c r="L38" s="378">
        <f>L37</f>
        <v>7.0349999999999996E-2</v>
      </c>
      <c r="M38" s="144"/>
      <c r="N38" s="378">
        <f>N37</f>
        <v>0</v>
      </c>
      <c r="O38" s="144"/>
    </row>
    <row r="39" spans="1:15" ht="15" x14ac:dyDescent="0.25">
      <c r="A39" s="77"/>
      <c r="B39" s="77"/>
      <c r="C39" s="77"/>
      <c r="D39" s="77"/>
      <c r="E39" s="77"/>
      <c r="F39" s="77"/>
      <c r="G39" s="77"/>
      <c r="H39" s="388"/>
      <c r="I39" s="99"/>
      <c r="J39" s="77"/>
      <c r="K39" s="77"/>
      <c r="L39" s="77"/>
      <c r="M39" s="77"/>
      <c r="N39" s="77"/>
      <c r="O39" s="77"/>
    </row>
    <row r="40" spans="1:15" ht="15" x14ac:dyDescent="0.25">
      <c r="A40" s="77"/>
      <c r="B40" s="77"/>
      <c r="C40" s="77"/>
      <c r="D40" s="77"/>
      <c r="E40" s="77"/>
      <c r="F40" s="77"/>
      <c r="G40" s="77"/>
      <c r="H40" s="388"/>
      <c r="I40" s="99"/>
      <c r="J40" s="77"/>
      <c r="K40" s="144"/>
      <c r="L40" s="144"/>
      <c r="M40" s="77"/>
      <c r="N40" s="77"/>
      <c r="O40" s="77"/>
    </row>
    <row r="41" spans="1:15" ht="15" x14ac:dyDescent="0.25">
      <c r="A41" s="77"/>
      <c r="B41" s="77"/>
      <c r="C41" s="77"/>
      <c r="D41" s="77"/>
      <c r="E41" s="77"/>
      <c r="F41" s="77"/>
      <c r="G41" s="77"/>
      <c r="H41" s="388"/>
      <c r="I41" s="99"/>
      <c r="J41" s="77"/>
      <c r="K41" s="77"/>
      <c r="L41" s="77"/>
      <c r="M41" s="77"/>
      <c r="N41" s="77"/>
      <c r="O41" s="77"/>
    </row>
    <row r="42" spans="1:15" ht="15" x14ac:dyDescent="0.25">
      <c r="A42" s="77"/>
      <c r="B42" s="77"/>
      <c r="C42" s="77"/>
      <c r="D42" s="77"/>
      <c r="E42" s="77"/>
      <c r="F42" s="77"/>
      <c r="G42" s="77"/>
      <c r="H42" s="388"/>
      <c r="I42" s="99"/>
      <c r="J42" s="77"/>
      <c r="K42" s="77"/>
      <c r="L42" s="77"/>
      <c r="M42" s="77"/>
      <c r="N42" s="77"/>
      <c r="O42" s="77"/>
    </row>
    <row r="43" spans="1:15" ht="15" x14ac:dyDescent="0.25">
      <c r="A43" s="77"/>
      <c r="B43" s="77"/>
      <c r="C43" s="77"/>
      <c r="D43" s="77"/>
      <c r="E43" s="77"/>
      <c r="F43" s="77"/>
      <c r="G43" s="77"/>
      <c r="H43" s="388"/>
      <c r="I43" s="99"/>
      <c r="J43" s="77"/>
      <c r="K43" s="77"/>
      <c r="L43" s="77"/>
      <c r="M43" s="77"/>
      <c r="N43" s="77"/>
      <c r="O43" s="77"/>
    </row>
    <row r="44" spans="1:15" ht="15" x14ac:dyDescent="0.25">
      <c r="A44" s="77"/>
      <c r="B44" s="77"/>
      <c r="C44" s="77"/>
      <c r="D44" s="77"/>
      <c r="E44" s="77"/>
      <c r="F44" s="77"/>
      <c r="G44" s="77"/>
      <c r="H44" s="388"/>
      <c r="I44" s="99"/>
      <c r="J44" s="77"/>
      <c r="K44" s="77"/>
      <c r="L44" s="77"/>
      <c r="M44" s="77"/>
      <c r="N44" s="77"/>
      <c r="O44" s="77"/>
    </row>
    <row r="45" spans="1:15" ht="15" x14ac:dyDescent="0.25">
      <c r="A45" s="77"/>
      <c r="B45" s="77"/>
      <c r="C45" s="77"/>
      <c r="D45" s="77"/>
      <c r="E45" s="77"/>
      <c r="F45" s="77"/>
      <c r="G45" s="77"/>
      <c r="H45" s="388"/>
      <c r="I45" s="99"/>
      <c r="J45" s="77"/>
      <c r="K45" s="77"/>
      <c r="L45" s="77"/>
      <c r="M45" s="77"/>
      <c r="N45" s="77"/>
      <c r="O45" s="77"/>
    </row>
    <row r="46" spans="1:15" ht="15" x14ac:dyDescent="0.25">
      <c r="A46" s="77"/>
      <c r="B46" s="77"/>
      <c r="C46" s="77"/>
      <c r="D46" s="77"/>
      <c r="E46" s="77"/>
      <c r="F46" s="77"/>
      <c r="G46" s="77"/>
      <c r="H46" s="388"/>
      <c r="I46" s="99"/>
      <c r="J46" s="77"/>
      <c r="K46" s="77"/>
      <c r="L46" s="77"/>
      <c r="M46" s="77"/>
      <c r="N46" s="77"/>
      <c r="O46" s="77"/>
    </row>
    <row r="47" spans="1:15" ht="15.6" thickBot="1" x14ac:dyDescent="0.3">
      <c r="A47" s="904"/>
      <c r="B47" s="904"/>
      <c r="C47" s="904"/>
      <c r="D47" s="904"/>
      <c r="E47" s="904"/>
      <c r="F47" s="904"/>
      <c r="G47" s="904"/>
      <c r="H47" s="904"/>
      <c r="I47" s="904"/>
      <c r="J47" s="904"/>
      <c r="K47" s="904"/>
      <c r="L47" s="904"/>
      <c r="M47" s="904"/>
      <c r="N47" s="904"/>
      <c r="O47" s="904"/>
    </row>
    <row r="48" spans="1:15" ht="15.6" x14ac:dyDescent="0.3">
      <c r="A48" s="905"/>
      <c r="B48" s="905"/>
      <c r="C48" s="905"/>
      <c r="D48" s="905"/>
      <c r="E48" s="905"/>
      <c r="F48" s="905"/>
      <c r="G48" s="77"/>
      <c r="H48" s="388"/>
      <c r="I48" s="99"/>
      <c r="J48" s="77"/>
      <c r="K48" s="77"/>
      <c r="L48" s="77"/>
      <c r="M48" s="77"/>
      <c r="N48" s="77"/>
      <c r="O48" s="77"/>
    </row>
    <row r="49" spans="1:15" ht="15.6" x14ac:dyDescent="0.3">
      <c r="A49" s="202"/>
      <c r="B49" s="203"/>
      <c r="C49" s="203"/>
      <c r="D49" s="202"/>
      <c r="E49" s="202"/>
      <c r="F49" s="202"/>
      <c r="G49" s="77"/>
      <c r="H49" s="384"/>
      <c r="I49" s="99"/>
      <c r="J49" s="77"/>
      <c r="K49" s="77"/>
      <c r="L49" s="77"/>
      <c r="M49" s="77"/>
      <c r="N49" s="77"/>
      <c r="O49" s="77"/>
    </row>
    <row r="50" spans="1:15" ht="15" x14ac:dyDescent="0.25">
      <c r="A50" s="168"/>
      <c r="B50" s="168"/>
      <c r="C50" s="168"/>
      <c r="D50" s="168"/>
      <c r="E50" s="168"/>
      <c r="F50" s="168"/>
      <c r="G50" s="77"/>
      <c r="H50" s="388"/>
      <c r="I50" s="99"/>
      <c r="J50" s="77"/>
      <c r="K50" s="77"/>
      <c r="L50" s="77"/>
      <c r="M50" s="77"/>
      <c r="N50" s="77"/>
      <c r="O50" s="77"/>
    </row>
    <row r="51" spans="1:15" ht="15" x14ac:dyDescent="0.25">
      <c r="A51" s="211"/>
      <c r="B51" s="204"/>
      <c r="C51" s="204"/>
      <c r="D51" s="204"/>
      <c r="E51" s="204"/>
      <c r="F51" s="205"/>
      <c r="G51" s="77"/>
      <c r="H51" s="388"/>
      <c r="I51" s="99"/>
      <c r="J51" s="77"/>
      <c r="K51" s="77"/>
      <c r="L51" s="77"/>
      <c r="M51" s="77"/>
      <c r="N51" s="77"/>
      <c r="O51" s="77"/>
    </row>
    <row r="52" spans="1:15" ht="15" x14ac:dyDescent="0.25">
      <c r="A52" s="211"/>
      <c r="B52" s="204"/>
      <c r="C52" s="204"/>
      <c r="D52" s="204"/>
      <c r="E52" s="204"/>
      <c r="F52" s="205"/>
      <c r="G52" s="77"/>
      <c r="H52" s="388"/>
      <c r="I52" s="99"/>
      <c r="J52" s="77"/>
      <c r="K52" s="77"/>
      <c r="L52" s="77"/>
      <c r="M52" s="77"/>
      <c r="N52" s="77"/>
      <c r="O52" s="77"/>
    </row>
    <row r="53" spans="1:15" ht="15" x14ac:dyDescent="0.25">
      <c r="A53" s="168"/>
      <c r="B53" s="204"/>
      <c r="C53" s="204"/>
      <c r="D53" s="204"/>
      <c r="E53" s="204"/>
      <c r="F53" s="205"/>
      <c r="G53" s="77"/>
      <c r="H53" s="388"/>
      <c r="I53" s="99"/>
      <c r="J53" s="77"/>
      <c r="K53" s="77"/>
      <c r="L53" s="77"/>
      <c r="M53" s="77"/>
      <c r="N53" s="77"/>
      <c r="O53" s="77"/>
    </row>
    <row r="54" spans="1:15" ht="15" x14ac:dyDescent="0.25">
      <c r="A54" s="211"/>
      <c r="B54" s="204"/>
      <c r="C54" s="204"/>
      <c r="D54" s="204"/>
      <c r="E54" s="204"/>
      <c r="F54" s="205"/>
      <c r="G54" s="77"/>
      <c r="H54" s="388"/>
      <c r="I54" s="99"/>
      <c r="J54" s="77"/>
      <c r="K54" s="77"/>
      <c r="L54" s="77"/>
      <c r="M54" s="77"/>
      <c r="N54" s="77"/>
      <c r="O54" s="77"/>
    </row>
    <row r="55" spans="1:15" ht="15" x14ac:dyDescent="0.25">
      <c r="A55" s="168"/>
      <c r="B55" s="204"/>
      <c r="C55" s="204"/>
      <c r="D55" s="204"/>
      <c r="E55" s="204"/>
      <c r="F55" s="205"/>
      <c r="G55" s="77"/>
      <c r="H55" s="388"/>
      <c r="I55" s="99"/>
      <c r="J55" s="77"/>
      <c r="K55" s="77"/>
      <c r="L55" s="77"/>
      <c r="M55" s="77"/>
      <c r="N55" s="77"/>
      <c r="O55" s="77"/>
    </row>
    <row r="56" spans="1:15" ht="15" x14ac:dyDescent="0.25">
      <c r="A56" s="168"/>
      <c r="B56" s="204"/>
      <c r="C56" s="204"/>
      <c r="D56" s="204"/>
      <c r="E56" s="204"/>
      <c r="F56" s="205"/>
      <c r="G56" s="77"/>
      <c r="H56" s="388"/>
      <c r="I56" s="99"/>
      <c r="J56" s="77"/>
      <c r="K56" s="77"/>
      <c r="L56" s="77"/>
      <c r="M56" s="77"/>
      <c r="N56" s="77"/>
      <c r="O56" s="77"/>
    </row>
    <row r="57" spans="1:15" ht="16.8" x14ac:dyDescent="0.4">
      <c r="A57" s="168"/>
      <c r="B57" s="206"/>
      <c r="C57" s="206"/>
      <c r="D57" s="206"/>
      <c r="E57" s="206"/>
      <c r="F57" s="207"/>
      <c r="G57" s="77"/>
      <c r="H57" s="389"/>
      <c r="I57" s="99"/>
      <c r="J57" s="77"/>
      <c r="K57" s="77"/>
      <c r="L57" s="77"/>
      <c r="M57" s="77"/>
      <c r="N57" s="77"/>
      <c r="O57" s="77"/>
    </row>
    <row r="58" spans="1:15" ht="16.8" x14ac:dyDescent="0.4">
      <c r="A58" s="168"/>
      <c r="B58" s="209"/>
      <c r="C58" s="209"/>
      <c r="D58" s="209"/>
      <c r="E58" s="209"/>
      <c r="F58" s="210"/>
      <c r="G58" s="77"/>
      <c r="H58" s="390"/>
      <c r="I58" s="99"/>
      <c r="J58" s="77"/>
      <c r="K58" s="77"/>
      <c r="L58" s="77"/>
      <c r="M58" s="77"/>
      <c r="N58" s="77"/>
      <c r="O58" s="77"/>
    </row>
    <row r="59" spans="1:15" ht="15" x14ac:dyDescent="0.25">
      <c r="A59" s="168"/>
      <c r="B59" s="168"/>
      <c r="C59" s="168"/>
      <c r="D59" s="168"/>
      <c r="E59" s="168"/>
      <c r="F59" s="168"/>
      <c r="G59" s="77"/>
      <c r="H59" s="388"/>
      <c r="I59" s="99"/>
      <c r="J59" s="77"/>
      <c r="K59" s="77"/>
      <c r="L59" s="77"/>
      <c r="M59" s="77"/>
      <c r="N59" s="77"/>
      <c r="O59" s="77"/>
    </row>
    <row r="60" spans="1:15" ht="15" x14ac:dyDescent="0.25">
      <c r="A60" s="77"/>
      <c r="B60" s="77"/>
      <c r="C60" s="77"/>
      <c r="D60" s="77"/>
      <c r="E60" s="77"/>
      <c r="F60" s="77"/>
      <c r="G60" s="77"/>
      <c r="H60" s="388"/>
      <c r="I60" s="99"/>
      <c r="J60" s="77"/>
      <c r="K60" s="77"/>
      <c r="L60" s="77"/>
      <c r="M60" s="77"/>
      <c r="N60" s="77"/>
      <c r="O60" s="77"/>
    </row>
    <row r="61" spans="1:15" ht="15" x14ac:dyDescent="0.25">
      <c r="A61" s="77"/>
      <c r="B61" s="77"/>
      <c r="C61" s="77"/>
      <c r="D61" s="77"/>
      <c r="E61" s="77"/>
      <c r="F61" s="77"/>
      <c r="G61" s="77"/>
      <c r="H61" s="388"/>
      <c r="I61" s="99"/>
      <c r="J61" s="77"/>
      <c r="K61" s="77"/>
      <c r="L61" s="77"/>
      <c r="M61" s="77"/>
      <c r="N61" s="77"/>
      <c r="O61" s="77"/>
    </row>
    <row r="62" spans="1:15" ht="15" x14ac:dyDescent="0.25">
      <c r="A62" s="77"/>
      <c r="B62" s="77"/>
      <c r="C62" s="77"/>
      <c r="D62" s="77"/>
      <c r="E62" s="77"/>
      <c r="F62" s="77"/>
      <c r="G62" s="77"/>
      <c r="H62" s="388"/>
      <c r="I62" s="99"/>
      <c r="J62" s="77"/>
      <c r="K62" s="77"/>
      <c r="L62" s="77"/>
      <c r="M62" s="77"/>
      <c r="N62" s="77"/>
      <c r="O62" s="77"/>
    </row>
    <row r="63" spans="1:15" ht="15" x14ac:dyDescent="0.25">
      <c r="A63" s="77"/>
      <c r="B63" s="77"/>
      <c r="C63" s="77"/>
      <c r="D63" s="77"/>
      <c r="E63" s="77"/>
      <c r="F63" s="77"/>
      <c r="G63" s="77"/>
      <c r="H63" s="388"/>
      <c r="I63" s="99"/>
      <c r="J63" s="77"/>
      <c r="K63" s="77"/>
      <c r="L63" s="77"/>
      <c r="M63" s="77"/>
      <c r="N63" s="77"/>
      <c r="O63" s="77"/>
    </row>
    <row r="64" spans="1:15" ht="15" x14ac:dyDescent="0.25">
      <c r="A64" s="77"/>
      <c r="B64" s="77"/>
      <c r="C64" s="77"/>
      <c r="D64" s="77"/>
      <c r="E64" s="77"/>
      <c r="F64" s="77"/>
      <c r="G64" s="77"/>
      <c r="H64" s="388"/>
      <c r="I64" s="99"/>
      <c r="J64" s="77"/>
      <c r="K64" s="77"/>
      <c r="L64" s="77"/>
      <c r="M64" s="77"/>
      <c r="N64" s="77"/>
      <c r="O64" s="77"/>
    </row>
    <row r="65" spans="1:15" ht="15" x14ac:dyDescent="0.25">
      <c r="A65" s="77"/>
      <c r="B65" s="77"/>
      <c r="C65" s="77"/>
      <c r="D65" s="77"/>
      <c r="E65" s="77"/>
      <c r="F65" s="77"/>
      <c r="G65" s="77"/>
      <c r="H65" s="388"/>
      <c r="I65" s="99"/>
      <c r="J65" s="77"/>
      <c r="K65" s="77"/>
      <c r="L65" s="77"/>
      <c r="M65" s="77"/>
      <c r="N65" s="77"/>
      <c r="O65" s="77"/>
    </row>
    <row r="66" spans="1:15" ht="15" x14ac:dyDescent="0.25">
      <c r="A66" s="77"/>
      <c r="B66" s="77"/>
      <c r="C66" s="77"/>
      <c r="D66" s="77"/>
      <c r="E66" s="77"/>
      <c r="F66" s="77"/>
      <c r="G66" s="77"/>
      <c r="H66" s="388"/>
      <c r="I66" s="99"/>
      <c r="J66" s="77"/>
      <c r="K66" s="77"/>
      <c r="L66" s="77"/>
      <c r="M66" s="77"/>
      <c r="N66" s="77"/>
      <c r="O66" s="77"/>
    </row>
    <row r="67" spans="1:15" ht="15" x14ac:dyDescent="0.25">
      <c r="A67" s="77"/>
      <c r="B67" s="77"/>
      <c r="C67" s="77"/>
      <c r="D67" s="77"/>
      <c r="E67" s="77"/>
      <c r="F67" s="77"/>
      <c r="G67" s="77"/>
      <c r="H67" s="388"/>
      <c r="I67" s="99"/>
      <c r="J67" s="77"/>
      <c r="K67" s="77"/>
      <c r="L67" s="77"/>
      <c r="M67" s="77"/>
      <c r="N67" s="77"/>
      <c r="O67" s="77"/>
    </row>
    <row r="68" spans="1:15" ht="15" x14ac:dyDescent="0.25">
      <c r="A68" s="77"/>
      <c r="B68" s="77"/>
      <c r="C68" s="77"/>
      <c r="D68" s="77"/>
      <c r="E68" s="77"/>
      <c r="F68" s="77"/>
      <c r="G68" s="77"/>
      <c r="H68" s="388"/>
      <c r="I68" s="99"/>
      <c r="J68" s="77"/>
      <c r="K68" s="77"/>
      <c r="L68" s="77"/>
      <c r="M68" s="77"/>
      <c r="N68" s="77"/>
      <c r="O68" s="77"/>
    </row>
    <row r="69" spans="1:15" ht="15" x14ac:dyDescent="0.25">
      <c r="A69" s="77"/>
      <c r="B69" s="77"/>
      <c r="C69" s="77"/>
      <c r="D69" s="77"/>
      <c r="E69" s="77"/>
      <c r="F69" s="77"/>
      <c r="G69" s="77"/>
      <c r="H69" s="388"/>
      <c r="I69" s="99"/>
      <c r="J69" s="77"/>
      <c r="K69" s="77"/>
      <c r="L69" s="77"/>
      <c r="M69" s="77"/>
      <c r="N69" s="77"/>
      <c r="O69" s="77"/>
    </row>
    <row r="70" spans="1:15" ht="15" x14ac:dyDescent="0.25">
      <c r="A70" s="77"/>
      <c r="B70" s="77"/>
      <c r="C70" s="77"/>
      <c r="D70" s="77"/>
      <c r="E70" s="77"/>
      <c r="F70" s="77"/>
      <c r="G70" s="77"/>
      <c r="H70" s="388"/>
      <c r="I70" s="99"/>
      <c r="J70" s="77"/>
      <c r="K70" s="77"/>
      <c r="L70" s="77"/>
      <c r="M70" s="77"/>
      <c r="N70" s="77"/>
      <c r="O70" s="77"/>
    </row>
    <row r="71" spans="1:15" ht="15" x14ac:dyDescent="0.25">
      <c r="A71" s="77"/>
      <c r="B71" s="77"/>
      <c r="C71" s="77"/>
      <c r="D71" s="77"/>
      <c r="E71" s="77"/>
      <c r="F71" s="77"/>
      <c r="G71" s="77"/>
      <c r="H71" s="388"/>
      <c r="I71" s="99"/>
      <c r="J71" s="77"/>
      <c r="K71" s="77"/>
      <c r="L71" s="77"/>
      <c r="M71" s="77"/>
      <c r="N71" s="77"/>
      <c r="O71" s="77"/>
    </row>
    <row r="72" spans="1:15" ht="15" x14ac:dyDescent="0.25">
      <c r="A72" s="77"/>
      <c r="B72" s="77"/>
      <c r="C72" s="77"/>
      <c r="D72" s="77"/>
      <c r="E72" s="77"/>
      <c r="F72" s="77"/>
      <c r="G72" s="77"/>
      <c r="H72" s="388"/>
      <c r="I72" s="99"/>
      <c r="J72" s="77"/>
      <c r="K72" s="77"/>
      <c r="L72" s="77"/>
      <c r="M72" s="77"/>
      <c r="N72" s="77"/>
      <c r="O72" s="77"/>
    </row>
    <row r="73" spans="1:15" ht="15" x14ac:dyDescent="0.25">
      <c r="A73" s="77"/>
      <c r="B73" s="77"/>
      <c r="C73" s="77"/>
      <c r="D73" s="77"/>
      <c r="E73" s="77"/>
      <c r="F73" s="77"/>
      <c r="G73" s="77"/>
      <c r="H73" s="388"/>
      <c r="I73" s="99"/>
      <c r="J73" s="77"/>
      <c r="K73" s="77"/>
      <c r="L73" s="77"/>
      <c r="M73" s="77"/>
      <c r="N73" s="77"/>
      <c r="O73" s="77"/>
    </row>
    <row r="74" spans="1:15" ht="15" x14ac:dyDescent="0.25">
      <c r="A74" s="77"/>
      <c r="B74" s="77"/>
      <c r="C74" s="77"/>
      <c r="D74" s="77"/>
      <c r="E74" s="77"/>
      <c r="F74" s="77"/>
      <c r="G74" s="77"/>
      <c r="H74" s="388"/>
      <c r="I74" s="99"/>
      <c r="J74" s="77"/>
      <c r="K74" s="77"/>
      <c r="L74" s="77"/>
      <c r="M74" s="77"/>
      <c r="N74" s="77"/>
      <c r="O74" s="77"/>
    </row>
    <row r="75" spans="1:15" ht="15" x14ac:dyDescent="0.25">
      <c r="A75" s="77"/>
      <c r="B75" s="77"/>
      <c r="C75" s="77"/>
      <c r="D75" s="77"/>
      <c r="E75" s="77"/>
      <c r="F75" s="77"/>
      <c r="G75" s="77"/>
      <c r="H75" s="388"/>
      <c r="I75" s="99"/>
      <c r="J75" s="77"/>
      <c r="K75" s="77"/>
      <c r="L75" s="77"/>
      <c r="M75" s="77"/>
      <c r="N75" s="77"/>
      <c r="O75" s="77"/>
    </row>
    <row r="76" spans="1:15" ht="15" x14ac:dyDescent="0.25">
      <c r="A76" s="77"/>
      <c r="B76" s="77"/>
      <c r="C76" s="77"/>
      <c r="D76" s="77"/>
      <c r="E76" s="77"/>
      <c r="F76" s="77"/>
      <c r="G76" s="77"/>
      <c r="H76" s="388"/>
      <c r="I76" s="99"/>
      <c r="J76" s="77"/>
      <c r="K76" s="77"/>
      <c r="L76" s="77"/>
      <c r="M76" s="77"/>
      <c r="N76" s="77"/>
      <c r="O76" s="77"/>
    </row>
    <row r="77" spans="1:15" ht="15" x14ac:dyDescent="0.25">
      <c r="A77" s="77"/>
      <c r="B77" s="77"/>
      <c r="C77" s="77"/>
      <c r="D77" s="77"/>
      <c r="E77" s="77"/>
      <c r="F77" s="77"/>
      <c r="G77" s="77"/>
      <c r="H77" s="388"/>
      <c r="I77" s="99"/>
      <c r="J77" s="77"/>
      <c r="K77" s="77"/>
      <c r="L77" s="77"/>
      <c r="M77" s="77"/>
      <c r="N77" s="77"/>
      <c r="O77" s="77"/>
    </row>
    <row r="78" spans="1:15" ht="15" x14ac:dyDescent="0.25">
      <c r="A78" s="77"/>
      <c r="B78" s="77"/>
      <c r="C78" s="77"/>
      <c r="D78" s="77"/>
      <c r="E78" s="77"/>
      <c r="F78" s="77"/>
      <c r="G78" s="77"/>
      <c r="H78" s="388"/>
      <c r="I78" s="99"/>
      <c r="J78" s="77"/>
      <c r="K78" s="77"/>
      <c r="L78" s="77"/>
      <c r="M78" s="77"/>
      <c r="N78" s="77"/>
      <c r="O78" s="77"/>
    </row>
    <row r="79" spans="1:15" ht="15" x14ac:dyDescent="0.25">
      <c r="A79" s="77"/>
      <c r="B79" s="77"/>
      <c r="C79" s="77"/>
      <c r="D79" s="77"/>
      <c r="E79" s="77"/>
      <c r="F79" s="77"/>
      <c r="G79" s="77"/>
      <c r="H79" s="388"/>
      <c r="I79" s="99"/>
      <c r="J79" s="77"/>
      <c r="K79" s="77"/>
      <c r="L79" s="77"/>
      <c r="M79" s="77"/>
      <c r="N79" s="77"/>
      <c r="O79" s="77"/>
    </row>
    <row r="80" spans="1:15" ht="15" x14ac:dyDescent="0.25">
      <c r="A80" s="77"/>
      <c r="B80" s="77"/>
      <c r="C80" s="77"/>
      <c r="D80" s="77"/>
      <c r="E80" s="77"/>
      <c r="F80" s="77"/>
      <c r="G80" s="77"/>
      <c r="H80" s="388"/>
      <c r="I80" s="99"/>
      <c r="J80" s="77"/>
      <c r="K80" s="77"/>
      <c r="L80" s="77"/>
      <c r="M80" s="77"/>
      <c r="N80" s="77"/>
      <c r="O80" s="77"/>
    </row>
    <row r="81" spans="1:15" ht="15" x14ac:dyDescent="0.25">
      <c r="A81" s="77"/>
      <c r="B81" s="77"/>
      <c r="C81" s="77"/>
      <c r="D81" s="77"/>
      <c r="E81" s="77"/>
      <c r="F81" s="77"/>
      <c r="G81" s="77"/>
      <c r="H81" s="388"/>
      <c r="I81" s="99"/>
      <c r="J81" s="77"/>
      <c r="K81" s="77"/>
      <c r="L81" s="77"/>
      <c r="M81" s="77"/>
      <c r="N81" s="77"/>
      <c r="O81" s="77"/>
    </row>
    <row r="82" spans="1:15" ht="15" x14ac:dyDescent="0.25">
      <c r="A82" s="77"/>
      <c r="B82" s="77"/>
      <c r="C82" s="77"/>
      <c r="D82" s="77"/>
      <c r="E82" s="77"/>
      <c r="F82" s="77"/>
      <c r="G82" s="77"/>
      <c r="H82" s="388"/>
      <c r="I82" s="99"/>
      <c r="J82" s="77"/>
      <c r="K82" s="77"/>
      <c r="L82" s="77"/>
      <c r="M82" s="77"/>
      <c r="N82" s="77"/>
      <c r="O82" s="77"/>
    </row>
    <row r="83" spans="1:15" ht="15" x14ac:dyDescent="0.25">
      <c r="A83" s="77"/>
      <c r="B83" s="77"/>
      <c r="C83" s="77"/>
      <c r="D83" s="77"/>
      <c r="E83" s="77"/>
      <c r="F83" s="77"/>
      <c r="G83" s="77"/>
      <c r="H83" s="388"/>
      <c r="I83" s="99"/>
      <c r="J83" s="77"/>
      <c r="K83" s="77"/>
      <c r="L83" s="77"/>
      <c r="M83" s="77"/>
      <c r="N83" s="77"/>
      <c r="O83" s="77"/>
    </row>
    <row r="84" spans="1:15" ht="15" x14ac:dyDescent="0.25">
      <c r="A84" s="77"/>
      <c r="B84" s="77"/>
      <c r="C84" s="77"/>
      <c r="D84" s="77"/>
      <c r="E84" s="77"/>
      <c r="F84" s="77"/>
      <c r="G84" s="77"/>
      <c r="H84" s="388"/>
      <c r="I84" s="99"/>
      <c r="J84" s="77"/>
      <c r="K84" s="77"/>
      <c r="L84" s="77"/>
      <c r="M84" s="77"/>
      <c r="N84" s="77"/>
      <c r="O84" s="77"/>
    </row>
    <row r="85" spans="1:15" ht="15" x14ac:dyDescent="0.25">
      <c r="A85" s="77"/>
      <c r="B85" s="77"/>
      <c r="C85" s="77"/>
      <c r="D85" s="77"/>
      <c r="E85" s="77"/>
      <c r="F85" s="77"/>
      <c r="G85" s="77"/>
      <c r="H85" s="388"/>
      <c r="I85" s="99"/>
      <c r="J85" s="77"/>
      <c r="K85" s="77"/>
      <c r="L85" s="77"/>
      <c r="M85" s="77"/>
      <c r="N85" s="77"/>
      <c r="O85" s="77"/>
    </row>
    <row r="86" spans="1:15" ht="15" x14ac:dyDescent="0.25">
      <c r="A86" s="77"/>
      <c r="B86" s="77"/>
      <c r="C86" s="77"/>
      <c r="D86" s="77"/>
      <c r="E86" s="77"/>
      <c r="F86" s="77"/>
      <c r="G86" s="77"/>
      <c r="H86" s="388"/>
      <c r="I86" s="99"/>
      <c r="J86" s="77"/>
      <c r="K86" s="77"/>
      <c r="L86" s="77"/>
      <c r="M86" s="77"/>
      <c r="N86" s="77"/>
      <c r="O86" s="77"/>
    </row>
    <row r="87" spans="1:15" ht="15" x14ac:dyDescent="0.25">
      <c r="A87" s="77"/>
      <c r="B87" s="77"/>
      <c r="C87" s="77"/>
      <c r="D87" s="77"/>
      <c r="E87" s="77"/>
      <c r="F87" s="77"/>
      <c r="G87" s="77"/>
      <c r="H87" s="388"/>
      <c r="I87" s="99"/>
      <c r="J87" s="77"/>
      <c r="K87" s="77"/>
      <c r="L87" s="77"/>
      <c r="M87" s="77"/>
      <c r="N87" s="77"/>
      <c r="O87" s="77"/>
    </row>
    <row r="88" spans="1:15" ht="15" x14ac:dyDescent="0.25">
      <c r="A88" s="77"/>
      <c r="B88" s="77"/>
      <c r="C88" s="77"/>
      <c r="D88" s="77"/>
      <c r="E88" s="77"/>
      <c r="F88" s="77"/>
      <c r="G88" s="77"/>
      <c r="H88" s="388"/>
      <c r="I88" s="99"/>
      <c r="J88" s="77"/>
      <c r="K88" s="77"/>
      <c r="L88" s="77"/>
      <c r="M88" s="77"/>
      <c r="N88" s="77"/>
      <c r="O88" s="77"/>
    </row>
    <row r="89" spans="1:15" ht="15" x14ac:dyDescent="0.25">
      <c r="A89" s="77"/>
      <c r="B89" s="77"/>
      <c r="C89" s="77"/>
      <c r="D89" s="77"/>
      <c r="E89" s="77"/>
      <c r="F89" s="77"/>
      <c r="G89" s="77"/>
      <c r="H89" s="388"/>
      <c r="I89" s="99"/>
      <c r="J89" s="77"/>
      <c r="K89" s="77"/>
      <c r="L89" s="77"/>
      <c r="M89" s="77"/>
      <c r="N89" s="77"/>
      <c r="O89" s="77"/>
    </row>
    <row r="90" spans="1:15" ht="15" x14ac:dyDescent="0.25">
      <c r="A90" s="77"/>
      <c r="B90" s="77"/>
      <c r="C90" s="77"/>
      <c r="D90" s="77"/>
      <c r="E90" s="77"/>
      <c r="F90" s="77"/>
      <c r="G90" s="77"/>
      <c r="H90" s="388"/>
      <c r="I90" s="99"/>
      <c r="J90" s="77"/>
      <c r="K90" s="77"/>
      <c r="L90" s="77"/>
      <c r="M90" s="77"/>
      <c r="N90" s="77"/>
      <c r="O90" s="77"/>
    </row>
    <row r="91" spans="1:15" ht="15" x14ac:dyDescent="0.25">
      <c r="A91" s="77"/>
      <c r="B91" s="77"/>
      <c r="C91" s="77"/>
      <c r="D91" s="77"/>
      <c r="E91" s="77"/>
      <c r="F91" s="77"/>
      <c r="G91" s="77"/>
      <c r="H91" s="388"/>
      <c r="I91" s="99"/>
      <c r="J91" s="77"/>
      <c r="K91" s="77"/>
      <c r="L91" s="77"/>
      <c r="M91" s="77"/>
      <c r="N91" s="77"/>
      <c r="O91" s="77"/>
    </row>
    <row r="92" spans="1:15" ht="15" x14ac:dyDescent="0.25">
      <c r="A92" s="77"/>
      <c r="B92" s="77"/>
      <c r="C92" s="77"/>
      <c r="D92" s="77"/>
      <c r="E92" s="77"/>
      <c r="F92" s="77"/>
      <c r="G92" s="77"/>
      <c r="H92" s="388"/>
      <c r="I92" s="99"/>
      <c r="J92" s="77"/>
      <c r="K92" s="77"/>
      <c r="L92" s="77"/>
      <c r="M92" s="77"/>
      <c r="N92" s="77"/>
      <c r="O92" s="77"/>
    </row>
    <row r="93" spans="1:15" ht="15" x14ac:dyDescent="0.25">
      <c r="A93" s="77"/>
      <c r="B93" s="77"/>
      <c r="C93" s="77"/>
      <c r="D93" s="77"/>
      <c r="E93" s="77"/>
      <c r="F93" s="77"/>
      <c r="G93" s="77"/>
      <c r="H93" s="388"/>
      <c r="I93" s="99"/>
      <c r="J93" s="77"/>
      <c r="K93" s="77"/>
      <c r="L93" s="77"/>
      <c r="M93" s="77"/>
      <c r="N93" s="77"/>
      <c r="O93" s="77"/>
    </row>
    <row r="94" spans="1:15" ht="15" x14ac:dyDescent="0.25">
      <c r="A94" s="77"/>
      <c r="B94" s="77"/>
      <c r="C94" s="77"/>
      <c r="D94" s="77"/>
      <c r="E94" s="77"/>
      <c r="F94" s="77"/>
      <c r="G94" s="77"/>
      <c r="H94" s="388"/>
      <c r="I94" s="99"/>
      <c r="J94" s="77"/>
      <c r="K94" s="77"/>
      <c r="L94" s="77"/>
      <c r="M94" s="77"/>
      <c r="N94" s="77"/>
      <c r="O94" s="77"/>
    </row>
    <row r="95" spans="1:15" ht="15" x14ac:dyDescent="0.25">
      <c r="A95" s="77"/>
      <c r="B95" s="77"/>
      <c r="C95" s="77"/>
      <c r="D95" s="77"/>
      <c r="E95" s="77"/>
      <c r="F95" s="77"/>
      <c r="G95" s="77"/>
      <c r="H95" s="388"/>
      <c r="I95" s="99"/>
      <c r="J95" s="77"/>
      <c r="K95" s="77"/>
      <c r="L95" s="77"/>
      <c r="M95" s="77"/>
      <c r="N95" s="77"/>
      <c r="O95" s="77"/>
    </row>
    <row r="96" spans="1:15" ht="15" x14ac:dyDescent="0.25">
      <c r="A96" s="77"/>
      <c r="B96" s="77"/>
      <c r="C96" s="77"/>
      <c r="D96" s="77"/>
      <c r="E96" s="77"/>
      <c r="F96" s="77"/>
      <c r="G96" s="77"/>
      <c r="H96" s="388"/>
      <c r="I96" s="99"/>
      <c r="J96" s="77"/>
      <c r="K96" s="77"/>
      <c r="L96" s="77"/>
      <c r="M96" s="77"/>
      <c r="N96" s="77"/>
      <c r="O96" s="77"/>
    </row>
    <row r="97" spans="1:15" ht="15" x14ac:dyDescent="0.25">
      <c r="A97" s="77"/>
      <c r="B97" s="77"/>
      <c r="C97" s="77"/>
      <c r="D97" s="77"/>
      <c r="E97" s="77"/>
      <c r="F97" s="77"/>
      <c r="G97" s="77"/>
      <c r="H97" s="388"/>
      <c r="I97" s="99"/>
      <c r="J97" s="77"/>
      <c r="K97" s="77"/>
      <c r="L97" s="77"/>
      <c r="M97" s="77"/>
      <c r="N97" s="77"/>
      <c r="O97" s="77"/>
    </row>
    <row r="98" spans="1:15" ht="15" x14ac:dyDescent="0.25">
      <c r="A98" s="77"/>
      <c r="B98" s="77"/>
      <c r="C98" s="77"/>
      <c r="D98" s="77"/>
      <c r="E98" s="77"/>
      <c r="F98" s="77"/>
      <c r="G98" s="77"/>
      <c r="H98" s="388"/>
      <c r="I98" s="99"/>
      <c r="J98" s="77"/>
      <c r="K98" s="77"/>
      <c r="L98" s="77"/>
      <c r="M98" s="77"/>
      <c r="N98" s="77"/>
      <c r="O98" s="77"/>
    </row>
    <row r="99" spans="1:15" ht="15" x14ac:dyDescent="0.25">
      <c r="A99" s="77"/>
      <c r="B99" s="77"/>
      <c r="C99" s="77"/>
      <c r="D99" s="77"/>
      <c r="E99" s="77"/>
      <c r="F99" s="77"/>
      <c r="G99" s="77"/>
      <c r="H99" s="388"/>
      <c r="I99" s="99"/>
      <c r="J99" s="77"/>
      <c r="K99" s="77"/>
      <c r="L99" s="77"/>
      <c r="M99" s="77"/>
      <c r="N99" s="77"/>
      <c r="O99" s="77"/>
    </row>
    <row r="100" spans="1:15" ht="15" x14ac:dyDescent="0.25">
      <c r="A100" s="77"/>
      <c r="B100" s="77"/>
      <c r="C100" s="77"/>
      <c r="D100" s="77"/>
      <c r="E100" s="77"/>
      <c r="F100" s="77"/>
      <c r="G100" s="77"/>
      <c r="H100" s="388"/>
      <c r="I100" s="99"/>
      <c r="J100" s="77"/>
      <c r="K100" s="77"/>
      <c r="L100" s="77"/>
      <c r="M100" s="77"/>
      <c r="N100" s="77"/>
      <c r="O100" s="77"/>
    </row>
    <row r="101" spans="1:15" ht="15" x14ac:dyDescent="0.25">
      <c r="A101" s="77"/>
      <c r="B101" s="77"/>
      <c r="C101" s="77"/>
      <c r="D101" s="77"/>
      <c r="E101" s="77"/>
      <c r="F101" s="77"/>
      <c r="G101" s="77"/>
      <c r="H101" s="388"/>
      <c r="I101" s="99"/>
      <c r="J101" s="77"/>
      <c r="K101" s="77"/>
      <c r="L101" s="77"/>
      <c r="M101" s="77"/>
      <c r="N101" s="77"/>
      <c r="O101" s="77"/>
    </row>
    <row r="102" spans="1:15" ht="15" x14ac:dyDescent="0.25">
      <c r="A102" s="77"/>
      <c r="B102" s="77"/>
      <c r="C102" s="77"/>
      <c r="D102" s="77"/>
      <c r="E102" s="77"/>
      <c r="F102" s="77"/>
      <c r="G102" s="77"/>
      <c r="H102" s="388"/>
      <c r="I102" s="99"/>
      <c r="J102" s="77"/>
      <c r="K102" s="77"/>
      <c r="L102" s="77"/>
      <c r="M102" s="77"/>
      <c r="N102" s="77"/>
      <c r="O102" s="77"/>
    </row>
    <row r="103" spans="1:15" ht="15" x14ac:dyDescent="0.25">
      <c r="A103" s="77"/>
      <c r="B103" s="77"/>
      <c r="C103" s="77"/>
      <c r="D103" s="77"/>
      <c r="E103" s="77"/>
      <c r="F103" s="77"/>
      <c r="G103" s="77"/>
      <c r="H103" s="388"/>
      <c r="I103" s="99"/>
      <c r="J103" s="77"/>
      <c r="K103" s="77"/>
      <c r="L103" s="77"/>
      <c r="M103" s="77"/>
      <c r="N103" s="77"/>
      <c r="O103" s="77"/>
    </row>
    <row r="104" spans="1:15" ht="15" x14ac:dyDescent="0.25">
      <c r="A104" s="77"/>
      <c r="B104" s="77"/>
      <c r="C104" s="77"/>
      <c r="D104" s="77"/>
      <c r="E104" s="77"/>
      <c r="F104" s="77"/>
      <c r="G104" s="77"/>
      <c r="H104" s="388"/>
      <c r="I104" s="99"/>
      <c r="J104" s="77"/>
      <c r="K104" s="77"/>
      <c r="L104" s="77"/>
      <c r="M104" s="77"/>
      <c r="N104" s="77"/>
      <c r="O104" s="77"/>
    </row>
    <row r="105" spans="1:15" ht="15" x14ac:dyDescent="0.25">
      <c r="A105" s="77"/>
      <c r="B105" s="77"/>
      <c r="C105" s="77"/>
      <c r="D105" s="77"/>
      <c r="E105" s="77"/>
      <c r="F105" s="77"/>
      <c r="G105" s="77"/>
      <c r="H105" s="388"/>
      <c r="I105" s="99"/>
      <c r="J105" s="77"/>
      <c r="K105" s="77"/>
      <c r="L105" s="77"/>
      <c r="M105" s="77"/>
      <c r="N105" s="77"/>
      <c r="O105" s="77"/>
    </row>
    <row r="106" spans="1:15" ht="15.6" thickBot="1" x14ac:dyDescent="0.3">
      <c r="A106" s="77"/>
      <c r="B106" s="77"/>
      <c r="C106" s="77"/>
      <c r="D106" s="77"/>
      <c r="E106" s="77"/>
      <c r="F106" s="77"/>
      <c r="G106" s="77"/>
      <c r="H106" s="388"/>
      <c r="I106" s="99"/>
      <c r="J106" s="77"/>
      <c r="K106" s="77"/>
      <c r="L106" s="77"/>
      <c r="M106" s="77"/>
      <c r="N106" s="77"/>
      <c r="O106" s="77"/>
    </row>
    <row r="107" spans="1:15" ht="15" x14ac:dyDescent="0.25">
      <c r="A107" s="894" t="s">
        <v>195</v>
      </c>
      <c r="B107" s="895"/>
      <c r="C107" s="895"/>
      <c r="D107" s="895"/>
      <c r="E107" s="895"/>
      <c r="F107" s="896"/>
      <c r="G107" s="77"/>
      <c r="H107" s="388"/>
      <c r="I107" s="99"/>
      <c r="J107" s="77"/>
      <c r="K107" s="77"/>
      <c r="L107" s="77"/>
      <c r="M107" s="77"/>
      <c r="N107" s="77"/>
      <c r="O107" s="77"/>
    </row>
    <row r="108" spans="1:15" ht="15.6" thickBot="1" x14ac:dyDescent="0.3">
      <c r="A108" s="897"/>
      <c r="B108" s="898"/>
      <c r="C108" s="898"/>
      <c r="D108" s="898"/>
      <c r="E108" s="898"/>
      <c r="F108" s="899"/>
      <c r="G108" s="77"/>
      <c r="H108" s="388"/>
      <c r="I108" s="99"/>
      <c r="J108" s="77"/>
      <c r="K108" s="77"/>
      <c r="L108" s="77"/>
      <c r="M108" s="77"/>
      <c r="N108" s="77"/>
      <c r="O108" s="77"/>
    </row>
    <row r="109" spans="1:15" ht="15" x14ac:dyDescent="0.25">
      <c r="A109" s="162" t="s">
        <v>5</v>
      </c>
      <c r="B109" s="161" t="s">
        <v>6</v>
      </c>
      <c r="C109" s="161" t="s">
        <v>13</v>
      </c>
      <c r="D109" s="161" t="s">
        <v>82</v>
      </c>
      <c r="E109" s="161" t="s">
        <v>115</v>
      </c>
      <c r="F109" s="163" t="s">
        <v>116</v>
      </c>
      <c r="G109" s="77"/>
      <c r="H109" s="388"/>
      <c r="I109" s="99"/>
      <c r="J109" s="77"/>
      <c r="K109" s="77"/>
      <c r="L109" s="77"/>
      <c r="M109" s="77"/>
      <c r="N109" s="77"/>
      <c r="O109" s="77"/>
    </row>
    <row r="110" spans="1:15" ht="15" x14ac:dyDescent="0.25">
      <c r="A110" s="104" t="s">
        <v>239</v>
      </c>
      <c r="B110" s="106"/>
      <c r="C110" s="106"/>
      <c r="D110" s="105"/>
      <c r="E110" s="106"/>
      <c r="F110" s="107"/>
      <c r="G110" s="77"/>
      <c r="H110" s="388"/>
      <c r="I110" s="99"/>
      <c r="J110" s="77"/>
      <c r="K110" s="77"/>
      <c r="L110" s="77"/>
      <c r="M110" s="77"/>
      <c r="N110" s="77"/>
      <c r="O110" s="77"/>
    </row>
    <row r="111" spans="1:15" ht="30" x14ac:dyDescent="0.25">
      <c r="A111" s="104" t="s">
        <v>91</v>
      </c>
      <c r="B111" s="106" t="s">
        <v>190</v>
      </c>
      <c r="C111" s="106" t="s">
        <v>18</v>
      </c>
      <c r="D111" s="105" t="s">
        <v>8</v>
      </c>
      <c r="E111" s="106" t="s">
        <v>36</v>
      </c>
      <c r="F111" s="107" t="s">
        <v>29</v>
      </c>
      <c r="G111" s="77"/>
      <c r="H111" s="388"/>
      <c r="I111" s="99"/>
      <c r="J111" s="77"/>
      <c r="K111" s="77"/>
      <c r="L111" s="77"/>
      <c r="M111" s="77"/>
      <c r="N111" s="77"/>
      <c r="O111" s="77"/>
    </row>
    <row r="112" spans="1:15" ht="30" x14ac:dyDescent="0.25">
      <c r="A112" s="117" t="s">
        <v>27</v>
      </c>
      <c r="B112" s="106" t="s">
        <v>192</v>
      </c>
      <c r="C112" s="106" t="s">
        <v>15</v>
      </c>
      <c r="D112" s="105" t="s">
        <v>84</v>
      </c>
      <c r="E112" s="106" t="s">
        <v>35</v>
      </c>
      <c r="F112" s="107" t="s">
        <v>28</v>
      </c>
      <c r="G112" s="77"/>
      <c r="H112" s="388"/>
      <c r="I112" s="99"/>
      <c r="J112" s="77"/>
      <c r="K112" s="77"/>
      <c r="L112" s="77"/>
      <c r="M112" s="77"/>
      <c r="N112" s="77"/>
      <c r="O112" s="77"/>
    </row>
    <row r="113" spans="1:15" ht="30" x14ac:dyDescent="0.25">
      <c r="A113" s="117" t="s">
        <v>125</v>
      </c>
      <c r="B113" s="106" t="s">
        <v>191</v>
      </c>
      <c r="C113" s="106" t="s">
        <v>16</v>
      </c>
      <c r="D113" s="105"/>
      <c r="E113" s="106" t="s">
        <v>46</v>
      </c>
      <c r="F113" s="107" t="s">
        <v>34</v>
      </c>
      <c r="G113" s="77"/>
      <c r="H113" s="388"/>
      <c r="I113" s="99"/>
      <c r="J113" s="77"/>
      <c r="K113" s="77"/>
      <c r="L113" s="77"/>
      <c r="M113" s="77"/>
      <c r="N113" s="77"/>
      <c r="O113" s="77"/>
    </row>
    <row r="114" spans="1:15" ht="15" x14ac:dyDescent="0.25">
      <c r="A114" s="104" t="s">
        <v>128</v>
      </c>
      <c r="B114" s="106" t="s">
        <v>193</v>
      </c>
      <c r="C114" s="106" t="s">
        <v>20</v>
      </c>
      <c r="D114" s="105"/>
      <c r="E114" s="106" t="s">
        <v>142</v>
      </c>
      <c r="F114" s="107" t="s">
        <v>142</v>
      </c>
      <c r="G114" s="77"/>
      <c r="H114" s="388"/>
      <c r="I114" s="99"/>
      <c r="J114" s="77"/>
      <c r="K114" s="77"/>
      <c r="L114" s="77"/>
      <c r="M114" s="77"/>
      <c r="N114" s="77"/>
      <c r="O114" s="77"/>
    </row>
    <row r="115" spans="1:15" ht="15" x14ac:dyDescent="0.25">
      <c r="A115" s="117" t="s">
        <v>92</v>
      </c>
      <c r="B115" s="105"/>
      <c r="C115" s="106" t="s">
        <v>19</v>
      </c>
      <c r="D115" s="105"/>
      <c r="E115" s="106" t="s">
        <v>37</v>
      </c>
      <c r="F115" s="107" t="s">
        <v>30</v>
      </c>
      <c r="G115" s="77"/>
      <c r="H115" s="388"/>
      <c r="I115" s="99"/>
      <c r="J115" s="77"/>
      <c r="K115" s="77"/>
      <c r="L115" s="77"/>
      <c r="M115" s="77"/>
      <c r="N115" s="77"/>
      <c r="O115" s="77"/>
    </row>
    <row r="116" spans="1:15" ht="15" x14ac:dyDescent="0.25">
      <c r="A116" s="104" t="s">
        <v>194</v>
      </c>
      <c r="B116" s="105"/>
      <c r="C116" s="106" t="s">
        <v>21</v>
      </c>
      <c r="D116" s="105"/>
      <c r="E116" s="106" t="s">
        <v>117</v>
      </c>
      <c r="F116" s="107" t="s">
        <v>121</v>
      </c>
      <c r="G116" s="77"/>
      <c r="H116" s="388"/>
      <c r="I116" s="99"/>
      <c r="J116" s="77"/>
      <c r="K116" s="77"/>
      <c r="L116" s="77"/>
      <c r="M116" s="77"/>
      <c r="N116" s="77"/>
      <c r="O116" s="77"/>
    </row>
    <row r="117" spans="1:15" ht="30" x14ac:dyDescent="0.25">
      <c r="A117" s="104" t="s">
        <v>11</v>
      </c>
      <c r="B117" s="105"/>
      <c r="C117" s="106" t="s">
        <v>14</v>
      </c>
      <c r="D117" s="105"/>
      <c r="E117" s="106" t="s">
        <v>42</v>
      </c>
      <c r="F117" s="107" t="s">
        <v>40</v>
      </c>
      <c r="G117" s="77"/>
      <c r="H117" s="388"/>
      <c r="I117" s="99"/>
      <c r="J117" s="77"/>
      <c r="K117" s="77"/>
      <c r="L117" s="77"/>
      <c r="M117" s="77"/>
      <c r="N117" s="77"/>
      <c r="O117" s="77"/>
    </row>
    <row r="118" spans="1:15" ht="15" x14ac:dyDescent="0.25">
      <c r="A118" s="104" t="s">
        <v>1</v>
      </c>
      <c r="B118" s="105"/>
      <c r="C118" s="106" t="s">
        <v>17</v>
      </c>
      <c r="D118" s="105"/>
      <c r="E118" s="106" t="s">
        <v>38</v>
      </c>
      <c r="F118" s="107" t="s">
        <v>31</v>
      </c>
      <c r="G118" s="77"/>
      <c r="H118" s="388"/>
      <c r="I118" s="99"/>
      <c r="J118" s="77"/>
      <c r="K118" s="77"/>
      <c r="L118" s="77"/>
      <c r="M118" s="77"/>
      <c r="N118" s="77"/>
      <c r="O118" s="77"/>
    </row>
    <row r="119" spans="1:15" ht="15" x14ac:dyDescent="0.25">
      <c r="A119" s="117" t="s">
        <v>4</v>
      </c>
      <c r="B119" s="105"/>
      <c r="C119" s="106"/>
      <c r="D119" s="105"/>
      <c r="E119" s="106" t="s">
        <v>41</v>
      </c>
      <c r="F119" s="107" t="s">
        <v>39</v>
      </c>
      <c r="G119" s="77"/>
      <c r="H119" s="388"/>
      <c r="I119" s="99"/>
      <c r="J119" s="77"/>
      <c r="K119" s="77"/>
      <c r="L119" s="77"/>
      <c r="M119" s="77"/>
      <c r="N119" s="77"/>
      <c r="O119" s="77"/>
    </row>
    <row r="120" spans="1:15" ht="15" x14ac:dyDescent="0.25">
      <c r="A120" s="117" t="s">
        <v>126</v>
      </c>
      <c r="B120" s="105"/>
      <c r="C120" s="106"/>
      <c r="D120" s="105"/>
      <c r="E120" s="106" t="s">
        <v>43</v>
      </c>
      <c r="F120" s="107" t="s">
        <v>120</v>
      </c>
      <c r="G120" s="77"/>
      <c r="H120" s="388"/>
      <c r="I120" s="99"/>
      <c r="J120" s="77"/>
      <c r="K120" s="77"/>
      <c r="L120" s="77"/>
      <c r="M120" s="77"/>
      <c r="N120" s="77"/>
      <c r="O120" s="77"/>
    </row>
    <row r="121" spans="1:15" x14ac:dyDescent="0.25">
      <c r="A121" t="s">
        <v>238</v>
      </c>
      <c r="E121" t="s">
        <v>118</v>
      </c>
      <c r="F121" t="s">
        <v>122</v>
      </c>
    </row>
    <row r="122" spans="1:15" x14ac:dyDescent="0.25">
      <c r="A122" t="s">
        <v>183</v>
      </c>
      <c r="E122" t="s">
        <v>45</v>
      </c>
      <c r="F122" t="s">
        <v>32</v>
      </c>
    </row>
  </sheetData>
  <mergeCells count="7">
    <mergeCell ref="A107:F108"/>
    <mergeCell ref="A1:O1"/>
    <mergeCell ref="A3:O3"/>
    <mergeCell ref="A11:O11"/>
    <mergeCell ref="A35:O35"/>
    <mergeCell ref="A47:O47"/>
    <mergeCell ref="A48:F48"/>
  </mergeCells>
  <pageMargins left="0.7" right="0.7" top="0.75" bottom="0.75" header="0.3" footer="0.3"/>
  <pageSetup scale="21" orientation="landscape" r:id="rId1"/>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11">
    <tabColor rgb="FFFF0000"/>
  </sheetPr>
  <dimension ref="A1:O51"/>
  <sheetViews>
    <sheetView zoomScale="55" zoomScaleNormal="55" workbookViewId="0">
      <selection activeCell="DD94" sqref="DD94"/>
    </sheetView>
  </sheetViews>
  <sheetFormatPr defaultColWidth="8.77734375" defaultRowHeight="13.2" x14ac:dyDescent="0.25"/>
  <cols>
    <col min="1" max="15" width="26.44140625" customWidth="1"/>
  </cols>
  <sheetData>
    <row r="1" spans="1:15" ht="18" thickBot="1" x14ac:dyDescent="0.3">
      <c r="A1" s="900" t="s">
        <v>189</v>
      </c>
      <c r="B1" s="900"/>
      <c r="C1" s="900"/>
      <c r="D1" s="900"/>
      <c r="E1" s="900"/>
      <c r="F1" s="900"/>
      <c r="G1" s="900"/>
      <c r="H1" s="900"/>
      <c r="I1" s="900"/>
      <c r="J1" s="900"/>
      <c r="K1" s="900"/>
      <c r="L1" s="900"/>
      <c r="M1" s="900"/>
      <c r="N1" s="900"/>
      <c r="O1" s="900"/>
    </row>
    <row r="2" spans="1:15" ht="17.399999999999999" x14ac:dyDescent="0.25">
      <c r="A2" s="348" t="s">
        <v>188</v>
      </c>
      <c r="B2" s="175">
        <v>41060</v>
      </c>
      <c r="C2" s="348"/>
      <c r="D2" s="348"/>
      <c r="E2" s="348"/>
      <c r="F2" s="348"/>
      <c r="G2" s="348"/>
      <c r="H2" s="348"/>
      <c r="I2" s="348"/>
      <c r="J2" s="348"/>
      <c r="K2" s="348"/>
      <c r="L2" s="348"/>
      <c r="M2" s="348"/>
      <c r="N2" s="348"/>
      <c r="O2" s="348"/>
    </row>
    <row r="3" spans="1:15" ht="15" x14ac:dyDescent="0.25">
      <c r="A3" s="901" t="s">
        <v>204</v>
      </c>
      <c r="B3" s="902"/>
      <c r="C3" s="902"/>
      <c r="D3" s="902"/>
      <c r="E3" s="902"/>
      <c r="F3" s="902"/>
      <c r="G3" s="902"/>
      <c r="H3" s="902"/>
      <c r="I3" s="902"/>
      <c r="J3" s="902"/>
      <c r="K3" s="902"/>
      <c r="L3" s="902"/>
      <c r="M3" s="902"/>
      <c r="N3" s="902"/>
      <c r="O3" s="903"/>
    </row>
    <row r="4" spans="1:15" ht="60" x14ac:dyDescent="0.25">
      <c r="A4" s="176" t="s">
        <v>89</v>
      </c>
      <c r="B4" s="176" t="s">
        <v>90</v>
      </c>
      <c r="C4" s="177" t="s">
        <v>0</v>
      </c>
      <c r="D4" s="177" t="s">
        <v>124</v>
      </c>
      <c r="E4" s="176" t="s">
        <v>143</v>
      </c>
      <c r="F4" s="176" t="s">
        <v>144</v>
      </c>
      <c r="G4" s="176" t="s">
        <v>13</v>
      </c>
      <c r="H4" s="176" t="s">
        <v>88</v>
      </c>
      <c r="I4" s="176" t="s">
        <v>12</v>
      </c>
      <c r="J4" s="176" t="s">
        <v>158</v>
      </c>
      <c r="K4" s="176" t="s">
        <v>148</v>
      </c>
      <c r="L4" s="176" t="s">
        <v>180</v>
      </c>
      <c r="M4" s="176" t="s">
        <v>104</v>
      </c>
      <c r="N4" s="176" t="s">
        <v>179</v>
      </c>
      <c r="O4" s="176" t="s">
        <v>205</v>
      </c>
    </row>
    <row r="5" spans="1:15" ht="30" x14ac:dyDescent="0.25">
      <c r="A5" s="82" t="s">
        <v>84</v>
      </c>
      <c r="B5" s="322" t="s">
        <v>3</v>
      </c>
      <c r="C5" s="322" t="s">
        <v>1</v>
      </c>
      <c r="D5" s="322" t="s">
        <v>1</v>
      </c>
      <c r="E5" s="327" t="s">
        <v>120</v>
      </c>
      <c r="F5" s="327" t="s">
        <v>42</v>
      </c>
      <c r="G5" s="322" t="s">
        <v>14</v>
      </c>
      <c r="H5" s="85">
        <v>44423</v>
      </c>
      <c r="I5" s="322" t="s">
        <v>23</v>
      </c>
      <c r="J5" s="350">
        <v>143.66499999999999</v>
      </c>
      <c r="K5" s="296">
        <v>125.28</v>
      </c>
      <c r="L5" s="296">
        <f>N5-M5</f>
        <v>18.440018909999999</v>
      </c>
      <c r="M5" s="296">
        <v>1.6680670900000001</v>
      </c>
      <c r="N5" s="296">
        <v>20.108086</v>
      </c>
      <c r="O5" s="88"/>
    </row>
    <row r="6" spans="1:15" ht="30" x14ac:dyDescent="0.25">
      <c r="A6" s="90" t="s">
        <v>84</v>
      </c>
      <c r="B6" s="328" t="s">
        <v>3</v>
      </c>
      <c r="C6" s="328" t="s">
        <v>1</v>
      </c>
      <c r="D6" s="328" t="s">
        <v>1</v>
      </c>
      <c r="E6" s="329" t="s">
        <v>120</v>
      </c>
      <c r="F6" s="328" t="s">
        <v>42</v>
      </c>
      <c r="G6" s="328" t="s">
        <v>14</v>
      </c>
      <c r="H6" s="93">
        <v>44576</v>
      </c>
      <c r="I6" s="328" t="s">
        <v>24</v>
      </c>
      <c r="J6" s="351">
        <v>27.395</v>
      </c>
      <c r="K6" s="295">
        <v>26.9575</v>
      </c>
      <c r="L6" s="295">
        <f t="shared" ref="L6:L8" si="0">N6-M6</f>
        <v>4.8988687799999999</v>
      </c>
      <c r="M6" s="295">
        <v>6.7578719999999995E-2</v>
      </c>
      <c r="N6" s="295">
        <v>4.9664475000000001</v>
      </c>
      <c r="O6" s="96"/>
    </row>
    <row r="7" spans="1:15" ht="30" x14ac:dyDescent="0.25">
      <c r="A7" s="82" t="s">
        <v>84</v>
      </c>
      <c r="B7" s="322" t="s">
        <v>3</v>
      </c>
      <c r="C7" s="322" t="s">
        <v>194</v>
      </c>
      <c r="D7" s="322" t="s">
        <v>194</v>
      </c>
      <c r="E7" s="327" t="s">
        <v>39</v>
      </c>
      <c r="F7" s="327" t="s">
        <v>36</v>
      </c>
      <c r="G7" s="322" t="s">
        <v>14</v>
      </c>
      <c r="H7" s="85">
        <v>44576</v>
      </c>
      <c r="I7" s="322" t="s">
        <v>24</v>
      </c>
      <c r="J7" s="350">
        <v>26.85</v>
      </c>
      <c r="K7" s="296">
        <v>26.47</v>
      </c>
      <c r="L7" s="296">
        <f t="shared" si="0"/>
        <v>4.8033851200000006</v>
      </c>
      <c r="M7" s="296">
        <v>6.6362900000000002E-2</v>
      </c>
      <c r="N7" s="296">
        <v>4.8697480200000003</v>
      </c>
      <c r="O7" s="88"/>
    </row>
    <row r="8" spans="1:15" ht="30" x14ac:dyDescent="0.25">
      <c r="A8" s="90" t="s">
        <v>84</v>
      </c>
      <c r="B8" s="328" t="s">
        <v>3</v>
      </c>
      <c r="C8" s="328" t="s">
        <v>11</v>
      </c>
      <c r="D8" s="328" t="s">
        <v>125</v>
      </c>
      <c r="E8" s="329" t="s">
        <v>39</v>
      </c>
      <c r="F8" s="328" t="s">
        <v>38</v>
      </c>
      <c r="G8" s="328" t="s">
        <v>14</v>
      </c>
      <c r="H8" s="93">
        <v>46296</v>
      </c>
      <c r="I8" s="328" t="s">
        <v>25</v>
      </c>
      <c r="J8" s="351">
        <v>40.875</v>
      </c>
      <c r="K8" s="351">
        <v>39.75</v>
      </c>
      <c r="L8" s="351">
        <f t="shared" si="0"/>
        <v>7.1609684500000004</v>
      </c>
      <c r="M8" s="351">
        <v>6.3292119999999993E-2</v>
      </c>
      <c r="N8" s="351">
        <v>7.2242605700000002</v>
      </c>
      <c r="O8" s="96"/>
    </row>
    <row r="9" spans="1:15" ht="15" x14ac:dyDescent="0.25">
      <c r="A9" s="98"/>
      <c r="B9" s="111"/>
      <c r="C9" s="111"/>
      <c r="D9" s="111"/>
      <c r="E9" s="123"/>
      <c r="F9" s="111"/>
      <c r="G9" s="111"/>
      <c r="H9" s="114"/>
      <c r="I9" s="111"/>
      <c r="J9" s="352"/>
      <c r="K9" s="352"/>
      <c r="L9" s="352"/>
      <c r="M9" s="352" t="s">
        <v>75</v>
      </c>
      <c r="N9" s="353"/>
      <c r="O9" s="353"/>
    </row>
    <row r="10" spans="1:15" ht="15" x14ac:dyDescent="0.25">
      <c r="A10" s="90"/>
      <c r="B10" s="328"/>
      <c r="C10" s="328"/>
      <c r="D10" s="328"/>
      <c r="E10" s="329"/>
      <c r="F10" s="328"/>
      <c r="G10" s="328"/>
      <c r="H10" s="93"/>
      <c r="I10" s="328"/>
      <c r="J10" s="351"/>
      <c r="K10" s="351"/>
      <c r="L10" s="351"/>
      <c r="M10" s="351"/>
      <c r="N10" s="96"/>
      <c r="O10" s="96"/>
    </row>
    <row r="11" spans="1:15" ht="15" x14ac:dyDescent="0.25">
      <c r="A11" s="901" t="s">
        <v>203</v>
      </c>
      <c r="B11" s="902"/>
      <c r="C11" s="902"/>
      <c r="D11" s="902"/>
      <c r="E11" s="902"/>
      <c r="F11" s="902"/>
      <c r="G11" s="902"/>
      <c r="H11" s="902"/>
      <c r="I11" s="902"/>
      <c r="J11" s="902"/>
      <c r="K11" s="902"/>
      <c r="L11" s="902"/>
      <c r="M11" s="902"/>
      <c r="N11" s="902"/>
      <c r="O11" s="903"/>
    </row>
    <row r="12" spans="1:15" ht="60" x14ac:dyDescent="0.25">
      <c r="A12" s="176" t="s">
        <v>89</v>
      </c>
      <c r="B12" s="176" t="s">
        <v>90</v>
      </c>
      <c r="C12" s="177" t="s">
        <v>0</v>
      </c>
      <c r="D12" s="180" t="s">
        <v>124</v>
      </c>
      <c r="E12" s="176" t="s">
        <v>143</v>
      </c>
      <c r="F12" s="176" t="s">
        <v>144</v>
      </c>
      <c r="G12" s="176" t="s">
        <v>13</v>
      </c>
      <c r="H12" s="176" t="s">
        <v>88</v>
      </c>
      <c r="I12" s="176" t="s">
        <v>12</v>
      </c>
      <c r="J12" s="176" t="s">
        <v>150</v>
      </c>
      <c r="K12" s="176" t="s">
        <v>151</v>
      </c>
      <c r="L12" s="176" t="s">
        <v>157</v>
      </c>
      <c r="M12" s="176" t="s">
        <v>149</v>
      </c>
      <c r="N12" s="176" t="s">
        <v>179</v>
      </c>
      <c r="O12" s="176" t="s">
        <v>205</v>
      </c>
    </row>
    <row r="13" spans="1:15" ht="15" x14ac:dyDescent="0.25">
      <c r="A13" s="184" t="s">
        <v>197</v>
      </c>
      <c r="B13" s="184"/>
      <c r="C13" s="185"/>
      <c r="D13" s="185"/>
      <c r="E13" s="184"/>
      <c r="F13" s="184"/>
      <c r="G13" s="184"/>
      <c r="H13" s="184"/>
      <c r="I13" s="184"/>
      <c r="J13" s="184"/>
      <c r="K13" s="184"/>
      <c r="L13" s="184"/>
      <c r="M13" s="184"/>
      <c r="N13" s="184"/>
      <c r="O13" s="186"/>
    </row>
    <row r="14" spans="1:15" ht="30" x14ac:dyDescent="0.25">
      <c r="A14" s="90" t="s">
        <v>84</v>
      </c>
      <c r="B14" s="328" t="s">
        <v>7</v>
      </c>
      <c r="C14" s="328" t="s">
        <v>238</v>
      </c>
      <c r="D14" s="328" t="s">
        <v>238</v>
      </c>
      <c r="E14" s="329" t="s">
        <v>30</v>
      </c>
      <c r="F14" s="328" t="s">
        <v>142</v>
      </c>
      <c r="G14" s="328" t="s">
        <v>22</v>
      </c>
      <c r="H14" s="93">
        <v>41090</v>
      </c>
      <c r="I14" s="328" t="s">
        <v>176</v>
      </c>
      <c r="J14" s="96">
        <v>33.99</v>
      </c>
      <c r="K14" s="96">
        <v>33.99</v>
      </c>
      <c r="L14" s="96">
        <f>+J14-K14</f>
        <v>0</v>
      </c>
      <c r="M14" s="96"/>
      <c r="N14" s="96"/>
      <c r="O14" s="96"/>
    </row>
    <row r="15" spans="1:15" ht="30" x14ac:dyDescent="0.25">
      <c r="A15" s="82" t="s">
        <v>8</v>
      </c>
      <c r="B15" s="322" t="s">
        <v>7</v>
      </c>
      <c r="C15" s="322" t="s">
        <v>238</v>
      </c>
      <c r="D15" s="322" t="s">
        <v>238</v>
      </c>
      <c r="E15" s="327" t="s">
        <v>30</v>
      </c>
      <c r="F15" s="327" t="s">
        <v>142</v>
      </c>
      <c r="G15" s="322" t="s">
        <v>22</v>
      </c>
      <c r="H15" s="85">
        <v>41455</v>
      </c>
      <c r="I15" s="322" t="s">
        <v>131</v>
      </c>
      <c r="J15" s="88">
        <v>26.14</v>
      </c>
      <c r="K15" s="88">
        <v>0</v>
      </c>
      <c r="L15" s="88">
        <f>+J15-K15</f>
        <v>26.14</v>
      </c>
      <c r="M15" s="88"/>
      <c r="N15" s="88"/>
      <c r="O15" s="88"/>
    </row>
    <row r="16" spans="1:15" ht="30" x14ac:dyDescent="0.25">
      <c r="A16" s="90" t="s">
        <v>8</v>
      </c>
      <c r="B16" s="328" t="s">
        <v>193</v>
      </c>
      <c r="C16" s="328" t="s">
        <v>238</v>
      </c>
      <c r="D16" s="328" t="s">
        <v>238</v>
      </c>
      <c r="E16" s="329" t="s">
        <v>30</v>
      </c>
      <c r="F16" s="328" t="s">
        <v>142</v>
      </c>
      <c r="G16" s="328" t="s">
        <v>22</v>
      </c>
      <c r="H16" s="93">
        <v>41820</v>
      </c>
      <c r="I16" s="328" t="s">
        <v>132</v>
      </c>
      <c r="J16" s="96">
        <v>16.850000000000001</v>
      </c>
      <c r="K16" s="96">
        <v>0</v>
      </c>
      <c r="L16" s="96">
        <f>+J16-K16</f>
        <v>16.850000000000001</v>
      </c>
      <c r="M16" s="96"/>
      <c r="N16" s="96"/>
      <c r="O16" s="96"/>
    </row>
    <row r="17" spans="1:15" ht="30" x14ac:dyDescent="0.25">
      <c r="A17" s="82" t="s">
        <v>8</v>
      </c>
      <c r="B17" s="322" t="s">
        <v>193</v>
      </c>
      <c r="C17" s="322" t="s">
        <v>238</v>
      </c>
      <c r="D17" s="322" t="s">
        <v>238</v>
      </c>
      <c r="E17" s="327" t="s">
        <v>30</v>
      </c>
      <c r="F17" s="327" t="s">
        <v>142</v>
      </c>
      <c r="G17" s="328" t="s">
        <v>22</v>
      </c>
      <c r="H17" s="85">
        <v>42185</v>
      </c>
      <c r="I17" s="322" t="s">
        <v>133</v>
      </c>
      <c r="J17" s="278">
        <v>11.16</v>
      </c>
      <c r="K17" s="278">
        <v>0</v>
      </c>
      <c r="L17" s="278">
        <f>+J17-K17</f>
        <v>11.16</v>
      </c>
      <c r="M17" s="88"/>
      <c r="N17" s="88"/>
      <c r="O17" s="88"/>
    </row>
    <row r="18" spans="1:15" ht="15" x14ac:dyDescent="0.25">
      <c r="A18" s="181" t="s">
        <v>295</v>
      </c>
      <c r="B18" s="181"/>
      <c r="C18" s="181"/>
      <c r="D18" s="181"/>
      <c r="E18" s="182"/>
      <c r="F18" s="181"/>
      <c r="G18" s="181"/>
      <c r="H18" s="183" t="s">
        <v>206</v>
      </c>
      <c r="I18" s="181"/>
      <c r="J18" s="354">
        <f>SUM(J14:J17)</f>
        <v>88.14</v>
      </c>
      <c r="K18" s="354">
        <f>SUM(K14:K17)</f>
        <v>33.99</v>
      </c>
      <c r="L18" s="354">
        <f>SUM(L14:L17)</f>
        <v>54.150000000000006</v>
      </c>
      <c r="M18" s="354">
        <v>40.42</v>
      </c>
      <c r="N18" s="354">
        <v>13.73</v>
      </c>
      <c r="O18" s="354">
        <v>35</v>
      </c>
    </row>
    <row r="19" spans="1:15" ht="15" x14ac:dyDescent="0.25">
      <c r="A19" s="181"/>
      <c r="B19" s="181"/>
      <c r="C19" s="181"/>
      <c r="D19" s="181"/>
      <c r="E19" s="182"/>
      <c r="F19" s="181"/>
      <c r="G19" s="181"/>
      <c r="H19" s="183"/>
      <c r="I19" s="181"/>
      <c r="J19" s="354"/>
      <c r="K19" s="354"/>
      <c r="L19" s="354"/>
      <c r="M19" s="354"/>
      <c r="N19" s="354"/>
      <c r="O19" s="354"/>
    </row>
    <row r="20" spans="1:15" ht="15" x14ac:dyDescent="0.25">
      <c r="A20" s="184" t="s">
        <v>198</v>
      </c>
      <c r="B20" s="184"/>
      <c r="C20" s="185"/>
      <c r="D20" s="185"/>
      <c r="E20" s="184"/>
      <c r="F20" s="184"/>
      <c r="G20" s="184"/>
      <c r="H20" s="184"/>
      <c r="I20" s="184"/>
      <c r="J20" s="184"/>
      <c r="K20" s="184"/>
      <c r="L20" s="184"/>
      <c r="M20" s="184"/>
      <c r="N20" s="184"/>
      <c r="O20" s="186"/>
    </row>
    <row r="21" spans="1:15" ht="30" x14ac:dyDescent="0.25">
      <c r="A21" s="82" t="s">
        <v>8</v>
      </c>
      <c r="B21" s="322" t="s">
        <v>7</v>
      </c>
      <c r="C21" s="322" t="s">
        <v>27</v>
      </c>
      <c r="D21" s="322" t="s">
        <v>127</v>
      </c>
      <c r="E21" s="327" t="s">
        <v>33</v>
      </c>
      <c r="F21" s="327" t="s">
        <v>45</v>
      </c>
      <c r="G21" s="322" t="s">
        <v>22</v>
      </c>
      <c r="H21" s="85">
        <v>41090</v>
      </c>
      <c r="I21" s="322" t="s">
        <v>135</v>
      </c>
      <c r="J21" s="88">
        <v>6.57</v>
      </c>
      <c r="K21" s="88">
        <v>6.57</v>
      </c>
      <c r="L21" s="88">
        <f t="shared" ref="L21:L28" si="1">+J21-K21</f>
        <v>0</v>
      </c>
      <c r="M21" s="88"/>
      <c r="N21" s="88"/>
      <c r="O21" s="88"/>
    </row>
    <row r="22" spans="1:15" ht="30" x14ac:dyDescent="0.25">
      <c r="A22" s="90" t="s">
        <v>8</v>
      </c>
      <c r="B22" s="328" t="s">
        <v>7</v>
      </c>
      <c r="C22" s="328" t="s">
        <v>92</v>
      </c>
      <c r="D22" s="328" t="s">
        <v>128</v>
      </c>
      <c r="E22" s="329" t="s">
        <v>33</v>
      </c>
      <c r="F22" s="328" t="s">
        <v>45</v>
      </c>
      <c r="G22" s="328" t="s">
        <v>22</v>
      </c>
      <c r="H22" s="93">
        <v>41090</v>
      </c>
      <c r="I22" s="328" t="s">
        <v>136</v>
      </c>
      <c r="J22" s="96">
        <v>0.25</v>
      </c>
      <c r="K22" s="96">
        <v>0.25</v>
      </c>
      <c r="L22" s="96">
        <f t="shared" si="1"/>
        <v>0</v>
      </c>
      <c r="M22" s="96"/>
      <c r="N22" s="96"/>
      <c r="O22" s="96"/>
    </row>
    <row r="23" spans="1:15" ht="30" x14ac:dyDescent="0.25">
      <c r="A23" s="82" t="s">
        <v>8</v>
      </c>
      <c r="B23" s="322" t="s">
        <v>7</v>
      </c>
      <c r="C23" s="322" t="s">
        <v>27</v>
      </c>
      <c r="D23" s="322" t="s">
        <v>127</v>
      </c>
      <c r="E23" s="327" t="s">
        <v>33</v>
      </c>
      <c r="F23" s="327" t="s">
        <v>45</v>
      </c>
      <c r="G23" s="322" t="s">
        <v>22</v>
      </c>
      <c r="H23" s="85">
        <v>41455</v>
      </c>
      <c r="I23" s="322" t="s">
        <v>137</v>
      </c>
      <c r="J23" s="88">
        <v>5.25</v>
      </c>
      <c r="K23" s="88">
        <v>0</v>
      </c>
      <c r="L23" s="88">
        <f t="shared" si="1"/>
        <v>5.25</v>
      </c>
      <c r="M23" s="88"/>
      <c r="N23" s="88"/>
      <c r="O23" s="88"/>
    </row>
    <row r="24" spans="1:15" ht="30" x14ac:dyDescent="0.25">
      <c r="A24" s="90" t="s">
        <v>84</v>
      </c>
      <c r="B24" s="328" t="s">
        <v>7</v>
      </c>
      <c r="C24" s="328" t="s">
        <v>92</v>
      </c>
      <c r="D24" s="328" t="s">
        <v>128</v>
      </c>
      <c r="E24" s="329" t="s">
        <v>33</v>
      </c>
      <c r="F24" s="328" t="s">
        <v>45</v>
      </c>
      <c r="G24" s="328" t="s">
        <v>22</v>
      </c>
      <c r="H24" s="93">
        <v>41455</v>
      </c>
      <c r="I24" s="328" t="s">
        <v>137</v>
      </c>
      <c r="J24" s="96">
        <v>0.03</v>
      </c>
      <c r="K24" s="96">
        <v>0</v>
      </c>
      <c r="L24" s="96">
        <f t="shared" si="1"/>
        <v>0.03</v>
      </c>
      <c r="M24" s="96"/>
      <c r="N24" s="96"/>
      <c r="O24" s="96"/>
    </row>
    <row r="25" spans="1:15" ht="30" x14ac:dyDescent="0.25">
      <c r="A25" s="82" t="s">
        <v>84</v>
      </c>
      <c r="B25" s="322" t="s">
        <v>7</v>
      </c>
      <c r="C25" s="322" t="s">
        <v>27</v>
      </c>
      <c r="D25" s="322" t="s">
        <v>127</v>
      </c>
      <c r="E25" s="327" t="s">
        <v>33</v>
      </c>
      <c r="F25" s="327" t="s">
        <v>45</v>
      </c>
      <c r="G25" s="322" t="s">
        <v>22</v>
      </c>
      <c r="H25" s="85">
        <v>41820</v>
      </c>
      <c r="I25" s="322" t="s">
        <v>138</v>
      </c>
      <c r="J25" s="88">
        <v>0.92</v>
      </c>
      <c r="K25" s="88">
        <v>0</v>
      </c>
      <c r="L25" s="88">
        <f t="shared" si="1"/>
        <v>0.92</v>
      </c>
      <c r="M25" s="88"/>
      <c r="N25" s="88"/>
      <c r="O25" s="88"/>
    </row>
    <row r="26" spans="1:15" ht="30" x14ac:dyDescent="0.25">
      <c r="A26" s="90" t="s">
        <v>8</v>
      </c>
      <c r="B26" s="328" t="s">
        <v>7</v>
      </c>
      <c r="C26" s="328" t="s">
        <v>92</v>
      </c>
      <c r="D26" s="328" t="s">
        <v>128</v>
      </c>
      <c r="E26" s="329" t="s">
        <v>33</v>
      </c>
      <c r="F26" s="328" t="s">
        <v>45</v>
      </c>
      <c r="G26" s="328" t="s">
        <v>22</v>
      </c>
      <c r="H26" s="93">
        <v>41820</v>
      </c>
      <c r="I26" s="328" t="s">
        <v>138</v>
      </c>
      <c r="J26" s="96">
        <v>0.22</v>
      </c>
      <c r="K26" s="96">
        <v>0</v>
      </c>
      <c r="L26" s="96">
        <f t="shared" si="1"/>
        <v>0.22</v>
      </c>
      <c r="M26" s="96"/>
      <c r="N26" s="96"/>
      <c r="O26" s="96"/>
    </row>
    <row r="27" spans="1:15" ht="30" x14ac:dyDescent="0.25">
      <c r="A27" s="82" t="s">
        <v>8</v>
      </c>
      <c r="B27" s="322" t="s">
        <v>7</v>
      </c>
      <c r="C27" s="322"/>
      <c r="D27" s="322"/>
      <c r="E27" s="327"/>
      <c r="F27" s="327"/>
      <c r="G27" s="322"/>
      <c r="H27" s="85"/>
      <c r="I27" s="322" t="s">
        <v>139</v>
      </c>
      <c r="J27" s="88">
        <v>0</v>
      </c>
      <c r="K27" s="88">
        <v>0</v>
      </c>
      <c r="L27" s="88">
        <f t="shared" si="1"/>
        <v>0</v>
      </c>
      <c r="M27" s="88"/>
      <c r="N27" s="88"/>
      <c r="O27" s="88"/>
    </row>
    <row r="28" spans="1:15" ht="30" x14ac:dyDescent="0.25">
      <c r="A28" s="90" t="s">
        <v>8</v>
      </c>
      <c r="B28" s="328" t="s">
        <v>7</v>
      </c>
      <c r="C28" s="328"/>
      <c r="D28" s="328"/>
      <c r="E28" s="329"/>
      <c r="F28" s="328"/>
      <c r="G28" s="328"/>
      <c r="H28" s="93"/>
      <c r="I28" s="328" t="s">
        <v>139</v>
      </c>
      <c r="J28" s="326">
        <v>0</v>
      </c>
      <c r="K28" s="326">
        <v>0</v>
      </c>
      <c r="L28" s="326">
        <f t="shared" si="1"/>
        <v>0</v>
      </c>
      <c r="M28" s="326"/>
      <c r="N28" s="326"/>
      <c r="O28" s="326"/>
    </row>
    <row r="29" spans="1:15" ht="30" x14ac:dyDescent="0.25">
      <c r="A29" s="181" t="s">
        <v>296</v>
      </c>
      <c r="B29" s="181"/>
      <c r="C29" s="181"/>
      <c r="D29" s="181"/>
      <c r="E29" s="182"/>
      <c r="F29" s="181"/>
      <c r="G29" s="181"/>
      <c r="H29" s="183" t="s">
        <v>206</v>
      </c>
      <c r="I29" s="181"/>
      <c r="J29" s="354">
        <f>SUM(J21:J28)</f>
        <v>13.24</v>
      </c>
      <c r="K29" s="354">
        <f>SUM(K21:K28)</f>
        <v>6.82</v>
      </c>
      <c r="L29" s="354">
        <f>SUM(L21:L28)</f>
        <v>6.42</v>
      </c>
      <c r="M29" s="354">
        <v>5.34</v>
      </c>
      <c r="N29" s="354">
        <v>1.08</v>
      </c>
      <c r="O29" s="354">
        <v>0</v>
      </c>
    </row>
    <row r="30" spans="1:15" ht="15" x14ac:dyDescent="0.25">
      <c r="A30" s="181"/>
      <c r="B30" s="181"/>
      <c r="C30" s="181"/>
      <c r="D30" s="181"/>
      <c r="E30" s="182"/>
      <c r="F30" s="181"/>
      <c r="G30" s="181"/>
      <c r="H30" s="183"/>
      <c r="I30" s="181"/>
      <c r="J30" s="354"/>
      <c r="K30" s="354"/>
      <c r="L30" s="354"/>
      <c r="M30" s="354"/>
      <c r="N30" s="354"/>
      <c r="O30" s="354"/>
    </row>
    <row r="31" spans="1:15" ht="15" x14ac:dyDescent="0.25">
      <c r="A31" s="184" t="s">
        <v>298</v>
      </c>
      <c r="B31" s="184"/>
      <c r="C31" s="185"/>
      <c r="D31" s="185"/>
      <c r="E31" s="184"/>
      <c r="F31" s="184"/>
      <c r="G31" s="184"/>
      <c r="H31" s="184"/>
      <c r="I31" s="184"/>
      <c r="J31" s="184"/>
      <c r="K31" s="184"/>
      <c r="L31" s="184"/>
      <c r="M31" s="184"/>
      <c r="N31" s="184"/>
      <c r="O31" s="186"/>
    </row>
    <row r="32" spans="1:15" ht="15" x14ac:dyDescent="0.25">
      <c r="A32" s="901" t="s">
        <v>202</v>
      </c>
      <c r="B32" s="902"/>
      <c r="C32" s="902"/>
      <c r="D32" s="902"/>
      <c r="E32" s="902"/>
      <c r="F32" s="902"/>
      <c r="G32" s="902"/>
      <c r="H32" s="902"/>
      <c r="I32" s="902"/>
      <c r="J32" s="902"/>
      <c r="K32" s="902"/>
      <c r="L32" s="902"/>
      <c r="M32" s="902"/>
      <c r="N32" s="902"/>
      <c r="O32" s="903"/>
    </row>
    <row r="33" spans="1:15" ht="60" x14ac:dyDescent="0.25">
      <c r="A33" s="176" t="s">
        <v>89</v>
      </c>
      <c r="B33" s="176" t="s">
        <v>90</v>
      </c>
      <c r="C33" s="177" t="s">
        <v>0</v>
      </c>
      <c r="D33" s="177" t="s">
        <v>124</v>
      </c>
      <c r="E33" s="176" t="s">
        <v>143</v>
      </c>
      <c r="F33" s="176" t="s">
        <v>144</v>
      </c>
      <c r="G33" s="176" t="s">
        <v>13</v>
      </c>
      <c r="H33" s="176" t="s">
        <v>88</v>
      </c>
      <c r="I33" s="176" t="s">
        <v>12</v>
      </c>
      <c r="J33" s="176" t="s">
        <v>200</v>
      </c>
      <c r="K33" s="176" t="s">
        <v>199</v>
      </c>
      <c r="L33" s="176" t="s">
        <v>201</v>
      </c>
      <c r="M33" s="176" t="s">
        <v>149</v>
      </c>
      <c r="N33" s="176" t="s">
        <v>179</v>
      </c>
      <c r="O33" s="176" t="s">
        <v>304</v>
      </c>
    </row>
    <row r="34" spans="1:15" ht="30" x14ac:dyDescent="0.25">
      <c r="A34" s="90" t="s">
        <v>84</v>
      </c>
      <c r="B34" s="328" t="s">
        <v>9</v>
      </c>
      <c r="C34" s="328" t="s">
        <v>183</v>
      </c>
      <c r="D34" s="328" t="s">
        <v>142</v>
      </c>
      <c r="E34" s="329" t="s">
        <v>142</v>
      </c>
      <c r="F34" s="328" t="s">
        <v>142</v>
      </c>
      <c r="G34" s="328" t="s">
        <v>22</v>
      </c>
      <c r="H34" s="93">
        <v>41449</v>
      </c>
      <c r="I34" s="328" t="s">
        <v>172</v>
      </c>
      <c r="J34" s="292">
        <v>7.0349999999999996E-2</v>
      </c>
      <c r="K34" s="292">
        <v>0</v>
      </c>
      <c r="L34" s="292">
        <v>7.0349999999999996E-2</v>
      </c>
      <c r="M34" s="292">
        <v>6.3249999999999987E-2</v>
      </c>
      <c r="N34" s="292">
        <f>IF(M34-L34&lt;0,0,M34-L34)</f>
        <v>0</v>
      </c>
      <c r="O34" s="292">
        <v>1.2649999999999999</v>
      </c>
    </row>
    <row r="35" spans="1:15" ht="30" x14ac:dyDescent="0.25">
      <c r="A35" s="98" t="s">
        <v>297</v>
      </c>
      <c r="B35" s="77"/>
      <c r="C35" s="77"/>
      <c r="D35" s="77"/>
      <c r="E35" s="77"/>
      <c r="F35" s="77"/>
      <c r="G35" s="77"/>
      <c r="H35" s="77"/>
      <c r="I35" s="77"/>
      <c r="J35" s="144"/>
      <c r="K35" s="144"/>
      <c r="L35" s="144">
        <f>L34</f>
        <v>7.0349999999999996E-2</v>
      </c>
      <c r="M35" s="144"/>
      <c r="N35" s="144">
        <f>N34</f>
        <v>0</v>
      </c>
      <c r="O35" s="144"/>
    </row>
    <row r="36" spans="1:15" ht="15" x14ac:dyDescent="0.25">
      <c r="A36" s="77"/>
      <c r="B36" s="77"/>
      <c r="C36" s="77"/>
      <c r="D36" s="77"/>
      <c r="E36" s="77"/>
      <c r="F36" s="77"/>
      <c r="G36" s="77"/>
      <c r="H36" s="77"/>
      <c r="I36" s="77"/>
      <c r="J36" s="77"/>
      <c r="K36" s="77"/>
      <c r="L36" s="77"/>
      <c r="M36" s="77"/>
      <c r="N36" s="77"/>
      <c r="O36" s="77"/>
    </row>
    <row r="37" spans="1:15" ht="15" x14ac:dyDescent="0.25">
      <c r="A37" s="77"/>
      <c r="B37" s="77"/>
      <c r="C37" s="77"/>
      <c r="D37" s="77"/>
      <c r="E37" s="77"/>
      <c r="F37" s="77"/>
      <c r="G37" s="77"/>
      <c r="H37" s="77"/>
      <c r="I37" s="77"/>
      <c r="J37" s="77"/>
      <c r="K37" s="77"/>
      <c r="L37" s="77"/>
      <c r="M37" s="77"/>
      <c r="N37" s="77"/>
      <c r="O37" s="77"/>
    </row>
    <row r="38" spans="1:15" ht="15" x14ac:dyDescent="0.25">
      <c r="A38" s="77"/>
      <c r="B38" s="77"/>
      <c r="C38" s="77"/>
      <c r="D38" s="77"/>
      <c r="E38" s="77"/>
      <c r="F38" s="77"/>
      <c r="G38" s="77"/>
      <c r="H38" s="77"/>
      <c r="I38" s="77"/>
      <c r="J38" s="77"/>
      <c r="K38" s="77"/>
      <c r="L38" s="77"/>
      <c r="M38" s="77"/>
      <c r="N38" s="77"/>
      <c r="O38" s="77"/>
    </row>
    <row r="39" spans="1:15" ht="15" x14ac:dyDescent="0.25">
      <c r="A39" s="77"/>
      <c r="B39" s="77"/>
      <c r="C39" s="77"/>
      <c r="D39" s="77"/>
      <c r="E39" s="77"/>
      <c r="F39" s="77"/>
      <c r="G39" s="77"/>
      <c r="H39" s="77"/>
      <c r="I39" s="77"/>
      <c r="J39" s="77"/>
      <c r="K39" s="77"/>
      <c r="L39" s="77"/>
      <c r="M39" s="77"/>
      <c r="N39" s="77"/>
      <c r="O39" s="77"/>
    </row>
    <row r="40" spans="1:15" ht="15" x14ac:dyDescent="0.25">
      <c r="A40" s="77"/>
      <c r="B40" s="77"/>
      <c r="C40" s="77"/>
      <c r="D40" s="77"/>
      <c r="E40" s="77"/>
      <c r="F40" s="77"/>
      <c r="G40" s="77"/>
      <c r="H40" s="77"/>
      <c r="I40" s="77"/>
      <c r="J40" s="77"/>
      <c r="K40" s="77"/>
      <c r="L40" s="77"/>
      <c r="M40" s="77"/>
      <c r="N40" s="77"/>
      <c r="O40" s="77"/>
    </row>
    <row r="41" spans="1:15" ht="15" x14ac:dyDescent="0.25">
      <c r="A41" s="77"/>
      <c r="B41" s="77"/>
      <c r="C41" s="77"/>
      <c r="D41" s="77"/>
      <c r="E41" s="77"/>
      <c r="F41" s="77"/>
      <c r="G41" s="77"/>
      <c r="H41" s="77"/>
      <c r="I41" s="77"/>
      <c r="J41" s="77"/>
      <c r="K41" s="77"/>
      <c r="L41" s="77"/>
      <c r="M41" s="77"/>
      <c r="N41" s="77"/>
      <c r="O41" s="77"/>
    </row>
    <row r="42" spans="1:15" ht="15" x14ac:dyDescent="0.25">
      <c r="A42" s="77"/>
      <c r="B42" s="77"/>
      <c r="C42" s="77"/>
      <c r="D42" s="77"/>
      <c r="E42" s="77"/>
      <c r="F42" s="77"/>
      <c r="G42" s="77"/>
      <c r="H42" s="77"/>
      <c r="I42" s="77"/>
      <c r="J42" s="77"/>
      <c r="K42" s="77"/>
      <c r="L42" s="77"/>
      <c r="M42" s="77"/>
      <c r="N42" s="77"/>
      <c r="O42" s="77"/>
    </row>
    <row r="43" spans="1:15" ht="15" x14ac:dyDescent="0.25">
      <c r="A43" s="77"/>
      <c r="B43" s="77"/>
      <c r="C43" s="77"/>
      <c r="D43" s="77"/>
      <c r="E43" s="77"/>
      <c r="F43" s="77"/>
      <c r="G43" s="77"/>
      <c r="H43" s="77"/>
      <c r="I43" s="77"/>
      <c r="J43" s="77"/>
      <c r="K43" s="77"/>
      <c r="L43" s="77"/>
      <c r="M43" s="77"/>
      <c r="N43" s="77"/>
      <c r="O43" s="77"/>
    </row>
    <row r="44" spans="1:15" ht="15.6" thickBot="1" x14ac:dyDescent="0.3">
      <c r="A44" s="904" t="s">
        <v>207</v>
      </c>
      <c r="B44" s="904"/>
      <c r="C44" s="904"/>
      <c r="D44" s="904"/>
      <c r="E44" s="904"/>
      <c r="F44" s="904"/>
      <c r="G44" s="904"/>
      <c r="H44" s="904"/>
      <c r="I44" s="904"/>
      <c r="J44" s="904"/>
      <c r="K44" s="904"/>
      <c r="L44" s="904"/>
      <c r="M44" s="904"/>
      <c r="N44" s="904"/>
      <c r="O44" s="904"/>
    </row>
    <row r="45" spans="1:15" ht="15.6" x14ac:dyDescent="0.3">
      <c r="A45" s="905"/>
      <c r="B45" s="905"/>
      <c r="C45" s="905"/>
      <c r="D45" s="905"/>
      <c r="E45" s="905"/>
      <c r="F45" s="905"/>
      <c r="G45" s="77"/>
      <c r="H45" s="77"/>
      <c r="I45" s="77"/>
      <c r="J45" s="77"/>
      <c r="K45" s="77"/>
      <c r="L45" s="77"/>
      <c r="M45" s="77"/>
      <c r="N45" s="77"/>
      <c r="O45" s="77"/>
    </row>
    <row r="46" spans="1:15" ht="15.6" x14ac:dyDescent="0.3">
      <c r="A46" s="202"/>
      <c r="B46" s="203"/>
      <c r="C46" s="203"/>
      <c r="D46" s="202"/>
      <c r="E46" s="202"/>
      <c r="F46" s="202"/>
      <c r="G46" s="77"/>
      <c r="H46" s="203"/>
      <c r="I46" s="77"/>
      <c r="J46" s="77"/>
      <c r="K46" s="77"/>
      <c r="L46" s="77"/>
      <c r="M46" s="77"/>
      <c r="N46" s="77"/>
      <c r="O46" s="77"/>
    </row>
    <row r="47" spans="1:15" ht="15" x14ac:dyDescent="0.25">
      <c r="A47" s="168"/>
      <c r="B47" s="168"/>
      <c r="C47" s="168"/>
      <c r="D47" s="168"/>
      <c r="E47" s="168"/>
      <c r="F47" s="168"/>
      <c r="G47" s="77"/>
      <c r="H47" s="77"/>
      <c r="I47" s="77"/>
      <c r="J47" s="77"/>
      <c r="K47" s="77"/>
      <c r="L47" s="77"/>
      <c r="M47" s="77"/>
      <c r="N47" s="77"/>
      <c r="O47" s="77"/>
    </row>
    <row r="48" spans="1:15" ht="15" x14ac:dyDescent="0.25">
      <c r="A48" s="211"/>
      <c r="B48" s="204"/>
      <c r="C48" s="204"/>
      <c r="D48" s="204"/>
      <c r="E48" s="204"/>
      <c r="F48" s="205"/>
      <c r="G48" s="77"/>
      <c r="H48" s="144"/>
      <c r="I48" s="77"/>
      <c r="J48" s="77"/>
      <c r="K48" s="77"/>
      <c r="L48" s="77"/>
      <c r="M48" s="77"/>
      <c r="N48" s="77"/>
      <c r="O48" s="77"/>
    </row>
    <row r="49" spans="1:15" ht="15" x14ac:dyDescent="0.25">
      <c r="A49" s="211"/>
      <c r="B49" s="204"/>
      <c r="C49" s="204"/>
      <c r="D49" s="204"/>
      <c r="E49" s="204"/>
      <c r="F49" s="205"/>
      <c r="G49" s="77"/>
      <c r="H49" s="77"/>
      <c r="I49" s="77"/>
      <c r="J49" s="77"/>
      <c r="K49" s="77"/>
      <c r="L49" s="77"/>
      <c r="M49" s="77"/>
      <c r="N49" s="77"/>
      <c r="O49" s="77"/>
    </row>
    <row r="50" spans="1:15" ht="15" x14ac:dyDescent="0.25">
      <c r="A50" s="168"/>
      <c r="B50" s="204"/>
      <c r="C50" s="204"/>
      <c r="D50" s="204"/>
      <c r="E50" s="204"/>
      <c r="F50" s="205"/>
      <c r="G50" s="77"/>
      <c r="H50" s="144"/>
      <c r="I50" s="77"/>
      <c r="J50" s="77"/>
      <c r="K50" s="77"/>
      <c r="L50" s="77"/>
      <c r="M50" s="77"/>
      <c r="N50" s="77"/>
      <c r="O50" s="77"/>
    </row>
    <row r="51" spans="1:15" ht="15" x14ac:dyDescent="0.25">
      <c r="A51" s="211"/>
      <c r="B51" s="204"/>
      <c r="C51" s="204"/>
      <c r="D51" s="204"/>
      <c r="E51" s="204"/>
      <c r="F51" s="205"/>
      <c r="G51" s="77"/>
      <c r="H51" s="144"/>
      <c r="I51" s="77"/>
      <c r="J51" s="77"/>
      <c r="K51" s="77"/>
      <c r="L51" s="77"/>
      <c r="M51" s="77"/>
      <c r="N51" s="77"/>
      <c r="O51" s="77"/>
    </row>
  </sheetData>
  <mergeCells count="6">
    <mergeCell ref="A45:F45"/>
    <mergeCell ref="A1:O1"/>
    <mergeCell ref="A3:O3"/>
    <mergeCell ref="A11:O11"/>
    <mergeCell ref="A32:O32"/>
    <mergeCell ref="A44:O44"/>
  </mergeCells>
  <dataValidations count="7">
    <dataValidation type="list" allowBlank="1" showInputMessage="1" showErrorMessage="1" sqref="C35:D43" xr:uid="{00000000-0002-0000-2000-000000000000}">
      <formula1>#REF!</formula1>
    </dataValidation>
    <dataValidation type="list" allowBlank="1" showInputMessage="1" showErrorMessage="1" sqref="C21:D28 C5:D10 C34:D34 C14:D17" xr:uid="{00000000-0002-0000-2000-000001000000}">
      <formula1>$A$107:$A$119</formula1>
    </dataValidation>
    <dataValidation type="list" allowBlank="1" showInputMessage="1" showErrorMessage="1" sqref="F5:F10 F21:F28 F34 F14:F17" xr:uid="{00000000-0002-0000-2000-000002000000}">
      <formula1>$E$107:$E$121</formula1>
    </dataValidation>
    <dataValidation type="list" allowBlank="1" showInputMessage="1" showErrorMessage="1" sqref="E5:E10 E21:E28 E34 E14:E17" xr:uid="{00000000-0002-0000-2000-000003000000}">
      <formula1>$F$107:$F$121</formula1>
    </dataValidation>
    <dataValidation type="list" allowBlank="1" showInputMessage="1" showErrorMessage="1" sqref="B5:B10 B21:B28 B14:B17 B34" xr:uid="{00000000-0002-0000-2000-000004000000}">
      <formula1>$B$107:$B$111</formula1>
    </dataValidation>
    <dataValidation type="list" allowBlank="1" showInputMessage="1" showErrorMessage="1" sqref="A5:A10 A21:A28 A14:A17 A34" xr:uid="{00000000-0002-0000-2000-000005000000}">
      <formula1>$D$107:$D$109</formula1>
    </dataValidation>
    <dataValidation type="list" allowBlank="1" showInputMessage="1" showErrorMessage="1" sqref="G5:G10 G14:G17 G34 G21:G28" xr:uid="{00000000-0002-0000-2000-000006000000}">
      <formula1>$C$107:$C$115</formula1>
    </dataValidation>
  </dataValidations>
  <pageMargins left="0.7" right="0.7" top="0.75" bottom="0.75" header="0.3" footer="0.3"/>
  <legacy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13">
    <tabColor rgb="FFFF0000"/>
  </sheetPr>
  <dimension ref="A1:O116"/>
  <sheetViews>
    <sheetView topLeftCell="B10" zoomScale="55" zoomScaleNormal="55" workbookViewId="0">
      <selection activeCell="DD94" sqref="DD94"/>
    </sheetView>
  </sheetViews>
  <sheetFormatPr defaultColWidth="8.77734375" defaultRowHeight="13.2" x14ac:dyDescent="0.25"/>
  <cols>
    <col min="1" max="15" width="26.44140625" customWidth="1"/>
  </cols>
  <sheetData>
    <row r="1" spans="1:15" ht="18" thickBot="1" x14ac:dyDescent="0.3">
      <c r="A1" s="900" t="s">
        <v>189</v>
      </c>
      <c r="B1" s="900"/>
      <c r="C1" s="900"/>
      <c r="D1" s="900"/>
      <c r="E1" s="900"/>
      <c r="F1" s="900"/>
      <c r="G1" s="900"/>
      <c r="H1" s="900"/>
      <c r="I1" s="900"/>
      <c r="J1" s="900"/>
      <c r="K1" s="900"/>
      <c r="L1" s="900"/>
      <c r="M1" s="900"/>
      <c r="N1" s="900"/>
      <c r="O1" s="900"/>
    </row>
    <row r="2" spans="1:15" ht="17.399999999999999" x14ac:dyDescent="0.25">
      <c r="A2" s="299" t="s">
        <v>188</v>
      </c>
      <c r="B2" s="175">
        <v>41060</v>
      </c>
      <c r="C2" s="299"/>
      <c r="D2" s="299"/>
      <c r="E2" s="299"/>
      <c r="F2" s="299"/>
      <c r="G2" s="299"/>
      <c r="H2" s="299"/>
      <c r="I2" s="299"/>
      <c r="J2" s="299"/>
      <c r="K2" s="299"/>
      <c r="L2" s="299"/>
      <c r="M2" s="299"/>
      <c r="N2" s="299"/>
      <c r="O2" s="299"/>
    </row>
    <row r="3" spans="1:15" ht="15" x14ac:dyDescent="0.25">
      <c r="A3" s="901" t="s">
        <v>204</v>
      </c>
      <c r="B3" s="902"/>
      <c r="C3" s="902"/>
      <c r="D3" s="902"/>
      <c r="E3" s="902"/>
      <c r="F3" s="902"/>
      <c r="G3" s="902"/>
      <c r="H3" s="902"/>
      <c r="I3" s="902"/>
      <c r="J3" s="902"/>
      <c r="K3" s="902"/>
      <c r="L3" s="902"/>
      <c r="M3" s="902"/>
      <c r="N3" s="902"/>
      <c r="O3" s="903"/>
    </row>
    <row r="4" spans="1:15" ht="60" x14ac:dyDescent="0.25">
      <c r="A4" s="176" t="s">
        <v>89</v>
      </c>
      <c r="B4" s="176" t="s">
        <v>90</v>
      </c>
      <c r="C4" s="177" t="s">
        <v>0</v>
      </c>
      <c r="D4" s="177" t="s">
        <v>124</v>
      </c>
      <c r="E4" s="176" t="s">
        <v>143</v>
      </c>
      <c r="F4" s="176" t="s">
        <v>144</v>
      </c>
      <c r="G4" s="176" t="s">
        <v>13</v>
      </c>
      <c r="H4" s="176" t="s">
        <v>88</v>
      </c>
      <c r="I4" s="176" t="s">
        <v>12</v>
      </c>
      <c r="J4" s="176" t="s">
        <v>158</v>
      </c>
      <c r="K4" s="176" t="s">
        <v>148</v>
      </c>
      <c r="L4" s="176" t="s">
        <v>153</v>
      </c>
      <c r="M4" s="176" t="s">
        <v>104</v>
      </c>
      <c r="N4" s="176" t="s">
        <v>154</v>
      </c>
      <c r="O4" s="176" t="s">
        <v>205</v>
      </c>
    </row>
    <row r="5" spans="1:15" ht="30" x14ac:dyDescent="0.25">
      <c r="A5" s="82" t="s">
        <v>84</v>
      </c>
      <c r="B5" s="83" t="s">
        <v>3</v>
      </c>
      <c r="C5" s="83" t="s">
        <v>1</v>
      </c>
      <c r="D5" s="83" t="s">
        <v>1</v>
      </c>
      <c r="E5" s="84" t="s">
        <v>120</v>
      </c>
      <c r="F5" s="84" t="s">
        <v>42</v>
      </c>
      <c r="G5" s="83" t="s">
        <v>14</v>
      </c>
      <c r="H5" s="85">
        <v>44423</v>
      </c>
      <c r="I5" s="83" t="s">
        <v>23</v>
      </c>
      <c r="J5" s="173">
        <v>143.66499999999999</v>
      </c>
      <c r="K5" s="296">
        <v>125.28</v>
      </c>
      <c r="L5" s="296">
        <f>N5-M5</f>
        <v>18.36</v>
      </c>
      <c r="M5" s="296">
        <v>1.32</v>
      </c>
      <c r="N5" s="296">
        <v>19.68</v>
      </c>
      <c r="O5" s="288"/>
    </row>
    <row r="6" spans="1:15" ht="30" x14ac:dyDescent="0.25">
      <c r="A6" s="90" t="s">
        <v>84</v>
      </c>
      <c r="B6" s="91" t="s">
        <v>3</v>
      </c>
      <c r="C6" s="91" t="s">
        <v>1</v>
      </c>
      <c r="D6" s="91" t="s">
        <v>1</v>
      </c>
      <c r="E6" s="92" t="s">
        <v>120</v>
      </c>
      <c r="F6" s="91" t="s">
        <v>42</v>
      </c>
      <c r="G6" s="91" t="s">
        <v>14</v>
      </c>
      <c r="H6" s="93">
        <v>44576</v>
      </c>
      <c r="I6" s="91" t="s">
        <v>24</v>
      </c>
      <c r="J6" s="174">
        <v>27.395</v>
      </c>
      <c r="K6" s="295">
        <v>26.9575</v>
      </c>
      <c r="L6" s="295">
        <f t="shared" ref="L6:L8" si="0">N6-M6</f>
        <v>4.9550000000000001</v>
      </c>
      <c r="M6" s="295">
        <v>8.5000000000000006E-2</v>
      </c>
      <c r="N6" s="295">
        <v>5.04</v>
      </c>
      <c r="O6" s="289"/>
    </row>
    <row r="7" spans="1:15" ht="30" x14ac:dyDescent="0.25">
      <c r="A7" s="82" t="s">
        <v>84</v>
      </c>
      <c r="B7" s="83" t="s">
        <v>3</v>
      </c>
      <c r="C7" s="83" t="s">
        <v>194</v>
      </c>
      <c r="D7" s="83" t="s">
        <v>194</v>
      </c>
      <c r="E7" s="84" t="s">
        <v>39</v>
      </c>
      <c r="F7" s="84" t="s">
        <v>36</v>
      </c>
      <c r="G7" s="83" t="s">
        <v>14</v>
      </c>
      <c r="H7" s="85">
        <v>44576</v>
      </c>
      <c r="I7" s="83" t="s">
        <v>24</v>
      </c>
      <c r="J7" s="173">
        <v>26.85</v>
      </c>
      <c r="K7" s="296">
        <v>26.47</v>
      </c>
      <c r="L7" s="296">
        <f t="shared" si="0"/>
        <v>4.8542999999999994</v>
      </c>
      <c r="M7" s="296">
        <v>8.3699999999999997E-2</v>
      </c>
      <c r="N7" s="296">
        <v>4.9379999999999997</v>
      </c>
      <c r="O7" s="288"/>
    </row>
    <row r="8" spans="1:15" ht="30" x14ac:dyDescent="0.25">
      <c r="A8" s="90" t="s">
        <v>84</v>
      </c>
      <c r="B8" s="91" t="s">
        <v>3</v>
      </c>
      <c r="C8" s="91" t="s">
        <v>11</v>
      </c>
      <c r="D8" s="91" t="s">
        <v>125</v>
      </c>
      <c r="E8" s="92" t="s">
        <v>39</v>
      </c>
      <c r="F8" s="91" t="s">
        <v>38</v>
      </c>
      <c r="G8" s="91" t="s">
        <v>14</v>
      </c>
      <c r="H8" s="93">
        <v>46296</v>
      </c>
      <c r="I8" s="91" t="s">
        <v>25</v>
      </c>
      <c r="J8" s="174">
        <v>40.875</v>
      </c>
      <c r="K8" s="174">
        <v>39.75</v>
      </c>
      <c r="L8" s="174">
        <f t="shared" si="0"/>
        <v>7.282</v>
      </c>
      <c r="M8" s="174">
        <v>8.5000000000000006E-2</v>
      </c>
      <c r="N8" s="174">
        <v>7.367</v>
      </c>
      <c r="O8" s="289"/>
    </row>
    <row r="9" spans="1:15" ht="15" x14ac:dyDescent="0.25">
      <c r="A9" s="98"/>
      <c r="B9" s="111"/>
      <c r="C9" s="111"/>
      <c r="D9" s="111"/>
      <c r="E9" s="123"/>
      <c r="F9" s="111"/>
      <c r="G9" s="111"/>
      <c r="H9" s="114"/>
      <c r="I9" s="111"/>
      <c r="J9" s="189"/>
      <c r="K9" s="189"/>
      <c r="L9" s="189"/>
      <c r="M9" s="189" t="s">
        <v>75</v>
      </c>
      <c r="N9" s="190"/>
      <c r="O9" s="190"/>
    </row>
    <row r="10" spans="1:15" ht="15" x14ac:dyDescent="0.25">
      <c r="A10" s="90"/>
      <c r="B10" s="91"/>
      <c r="C10" s="91"/>
      <c r="D10" s="91"/>
      <c r="E10" s="92"/>
      <c r="F10" s="91"/>
      <c r="G10" s="91"/>
      <c r="H10" s="93"/>
      <c r="I10" s="91"/>
      <c r="J10" s="174"/>
      <c r="K10" s="174"/>
      <c r="L10" s="174"/>
      <c r="M10" s="174"/>
      <c r="N10" s="289"/>
      <c r="O10" s="289"/>
    </row>
    <row r="11" spans="1:15" ht="15" x14ac:dyDescent="0.25">
      <c r="A11" s="901" t="s">
        <v>203</v>
      </c>
      <c r="B11" s="902"/>
      <c r="C11" s="902"/>
      <c r="D11" s="902"/>
      <c r="E11" s="902"/>
      <c r="F11" s="902"/>
      <c r="G11" s="902"/>
      <c r="H11" s="902"/>
      <c r="I11" s="902"/>
      <c r="J11" s="902"/>
      <c r="K11" s="902"/>
      <c r="L11" s="902"/>
      <c r="M11" s="902"/>
      <c r="N11" s="902"/>
      <c r="O11" s="903"/>
    </row>
    <row r="12" spans="1:15" ht="60" x14ac:dyDescent="0.25">
      <c r="A12" s="176" t="s">
        <v>89</v>
      </c>
      <c r="B12" s="176" t="s">
        <v>90</v>
      </c>
      <c r="C12" s="177" t="s">
        <v>0</v>
      </c>
      <c r="D12" s="180" t="s">
        <v>124</v>
      </c>
      <c r="E12" s="176" t="s">
        <v>143</v>
      </c>
      <c r="F12" s="176" t="s">
        <v>144</v>
      </c>
      <c r="G12" s="176" t="s">
        <v>13</v>
      </c>
      <c r="H12" s="176" t="s">
        <v>88</v>
      </c>
      <c r="I12" s="176" t="s">
        <v>12</v>
      </c>
      <c r="J12" s="176" t="s">
        <v>150</v>
      </c>
      <c r="K12" s="176" t="s">
        <v>151</v>
      </c>
      <c r="L12" s="176" t="s">
        <v>157</v>
      </c>
      <c r="M12" s="176" t="s">
        <v>149</v>
      </c>
      <c r="N12" s="176" t="s">
        <v>154</v>
      </c>
      <c r="O12" s="176" t="s">
        <v>205</v>
      </c>
    </row>
    <row r="13" spans="1:15" ht="15" x14ac:dyDescent="0.25">
      <c r="A13" s="184" t="s">
        <v>197</v>
      </c>
      <c r="B13" s="184"/>
      <c r="C13" s="185"/>
      <c r="D13" s="185"/>
      <c r="E13" s="184"/>
      <c r="F13" s="184"/>
      <c r="G13" s="184"/>
      <c r="H13" s="184"/>
      <c r="I13" s="184"/>
      <c r="J13" s="184"/>
      <c r="K13" s="184"/>
      <c r="L13" s="184"/>
      <c r="M13" s="184"/>
      <c r="N13" s="184"/>
      <c r="O13" s="186"/>
    </row>
    <row r="14" spans="1:15" ht="30" x14ac:dyDescent="0.25">
      <c r="A14" s="90" t="s">
        <v>84</v>
      </c>
      <c r="B14" s="91" t="s">
        <v>7</v>
      </c>
      <c r="C14" s="91" t="s">
        <v>238</v>
      </c>
      <c r="D14" s="91" t="s">
        <v>238</v>
      </c>
      <c r="E14" s="92" t="s">
        <v>30</v>
      </c>
      <c r="F14" s="91" t="s">
        <v>142</v>
      </c>
      <c r="G14" s="91" t="s">
        <v>22</v>
      </c>
      <c r="H14" s="93">
        <v>41090</v>
      </c>
      <c r="I14" s="91" t="s">
        <v>176</v>
      </c>
      <c r="J14" s="289">
        <v>33.99</v>
      </c>
      <c r="K14" s="289">
        <v>-32.43</v>
      </c>
      <c r="L14" s="289">
        <f t="shared" ref="L14:L17" si="1">+J14+K14</f>
        <v>1.5600000000000023</v>
      </c>
      <c r="M14" s="289"/>
      <c r="N14" s="289"/>
      <c r="O14" s="289"/>
    </row>
    <row r="15" spans="1:15" ht="30" x14ac:dyDescent="0.25">
      <c r="A15" s="82" t="s">
        <v>8</v>
      </c>
      <c r="B15" s="83" t="s">
        <v>7</v>
      </c>
      <c r="C15" s="83" t="s">
        <v>238</v>
      </c>
      <c r="D15" s="83" t="s">
        <v>238</v>
      </c>
      <c r="E15" s="84" t="s">
        <v>30</v>
      </c>
      <c r="F15" s="84" t="s">
        <v>142</v>
      </c>
      <c r="G15" s="83" t="s">
        <v>22</v>
      </c>
      <c r="H15" s="85">
        <v>41455</v>
      </c>
      <c r="I15" s="83" t="s">
        <v>131</v>
      </c>
      <c r="J15" s="288">
        <v>26.14</v>
      </c>
      <c r="K15" s="288">
        <v>0</v>
      </c>
      <c r="L15" s="288">
        <f t="shared" si="1"/>
        <v>26.14</v>
      </c>
      <c r="M15" s="288"/>
      <c r="N15" s="288"/>
      <c r="O15" s="288"/>
    </row>
    <row r="16" spans="1:15" ht="30" x14ac:dyDescent="0.25">
      <c r="A16" s="90" t="s">
        <v>8</v>
      </c>
      <c r="B16" s="91" t="s">
        <v>193</v>
      </c>
      <c r="C16" s="91" t="s">
        <v>238</v>
      </c>
      <c r="D16" s="91" t="s">
        <v>238</v>
      </c>
      <c r="E16" s="92" t="s">
        <v>30</v>
      </c>
      <c r="F16" s="91" t="s">
        <v>142</v>
      </c>
      <c r="G16" s="91" t="s">
        <v>22</v>
      </c>
      <c r="H16" s="93">
        <v>41820</v>
      </c>
      <c r="I16" s="91" t="s">
        <v>132</v>
      </c>
      <c r="J16" s="289">
        <v>16.84</v>
      </c>
      <c r="K16" s="289">
        <v>0</v>
      </c>
      <c r="L16" s="289">
        <f t="shared" si="1"/>
        <v>16.84</v>
      </c>
      <c r="M16" s="289"/>
      <c r="N16" s="289"/>
      <c r="O16" s="289"/>
    </row>
    <row r="17" spans="1:15" ht="30" x14ac:dyDescent="0.25">
      <c r="A17" s="82" t="s">
        <v>8</v>
      </c>
      <c r="B17" s="83" t="s">
        <v>193</v>
      </c>
      <c r="C17" s="83" t="s">
        <v>238</v>
      </c>
      <c r="D17" s="83" t="s">
        <v>238</v>
      </c>
      <c r="E17" s="84" t="s">
        <v>30</v>
      </c>
      <c r="F17" s="84" t="s">
        <v>142</v>
      </c>
      <c r="G17" s="91" t="s">
        <v>22</v>
      </c>
      <c r="H17" s="85">
        <v>42185</v>
      </c>
      <c r="I17" s="83" t="s">
        <v>133</v>
      </c>
      <c r="J17" s="191">
        <v>11.15</v>
      </c>
      <c r="K17" s="191">
        <v>0</v>
      </c>
      <c r="L17" s="191">
        <f t="shared" si="1"/>
        <v>11.15</v>
      </c>
      <c r="M17" s="288"/>
      <c r="N17" s="288"/>
      <c r="O17" s="288"/>
    </row>
    <row r="18" spans="1:15" ht="15" x14ac:dyDescent="0.25">
      <c r="A18" s="181"/>
      <c r="B18" s="181"/>
      <c r="C18" s="181"/>
      <c r="D18" s="181"/>
      <c r="E18" s="182"/>
      <c r="F18" s="181"/>
      <c r="G18" s="181"/>
      <c r="H18" s="183" t="s">
        <v>206</v>
      </c>
      <c r="I18" s="181"/>
      <c r="J18" s="290">
        <f>SUM(J14:J17)</f>
        <v>88.12</v>
      </c>
      <c r="K18" s="290">
        <f>SUM(K14:K17)</f>
        <v>-32.43</v>
      </c>
      <c r="L18" s="290">
        <f>SUM(L14:L17)</f>
        <v>55.690000000000005</v>
      </c>
      <c r="M18" s="290">
        <v>38.17</v>
      </c>
      <c r="N18" s="290">
        <v>17.52</v>
      </c>
      <c r="O18" s="290">
        <v>35</v>
      </c>
    </row>
    <row r="19" spans="1:15" ht="15" x14ac:dyDescent="0.25">
      <c r="A19" s="184" t="s">
        <v>198</v>
      </c>
      <c r="B19" s="184"/>
      <c r="C19" s="185"/>
      <c r="D19" s="185"/>
      <c r="E19" s="184"/>
      <c r="F19" s="184"/>
      <c r="G19" s="184"/>
      <c r="H19" s="184"/>
      <c r="I19" s="184"/>
      <c r="J19" s="184"/>
      <c r="K19" s="184"/>
      <c r="L19" s="184"/>
      <c r="M19" s="184"/>
      <c r="N19" s="184"/>
      <c r="O19" s="186"/>
    </row>
    <row r="20" spans="1:15" ht="30" x14ac:dyDescent="0.25">
      <c r="A20" s="82" t="s">
        <v>8</v>
      </c>
      <c r="B20" s="83" t="s">
        <v>7</v>
      </c>
      <c r="C20" s="83" t="s">
        <v>27</v>
      </c>
      <c r="D20" s="83" t="s">
        <v>127</v>
      </c>
      <c r="E20" s="84" t="s">
        <v>33</v>
      </c>
      <c r="F20" s="84" t="s">
        <v>45</v>
      </c>
      <c r="G20" s="83" t="s">
        <v>22</v>
      </c>
      <c r="H20" s="85">
        <v>41090</v>
      </c>
      <c r="I20" s="83" t="s">
        <v>135</v>
      </c>
      <c r="J20" s="288">
        <v>6.57</v>
      </c>
      <c r="K20" s="288">
        <v>-5.61</v>
      </c>
      <c r="L20" s="288">
        <f t="shared" ref="L20:L27" si="2">+J20+K20</f>
        <v>0.96</v>
      </c>
      <c r="M20" s="288"/>
      <c r="N20" s="288"/>
      <c r="O20" s="288"/>
    </row>
    <row r="21" spans="1:15" ht="30" x14ac:dyDescent="0.25">
      <c r="A21" s="90" t="s">
        <v>8</v>
      </c>
      <c r="B21" s="91" t="s">
        <v>7</v>
      </c>
      <c r="C21" s="91" t="s">
        <v>92</v>
      </c>
      <c r="D21" s="91" t="s">
        <v>128</v>
      </c>
      <c r="E21" s="92" t="s">
        <v>33</v>
      </c>
      <c r="F21" s="91" t="s">
        <v>45</v>
      </c>
      <c r="G21" s="91" t="s">
        <v>22</v>
      </c>
      <c r="H21" s="93">
        <v>41090</v>
      </c>
      <c r="I21" s="91" t="s">
        <v>136</v>
      </c>
      <c r="J21" s="289">
        <v>0.25</v>
      </c>
      <c r="K21" s="289">
        <v>-0.25</v>
      </c>
      <c r="L21" s="289">
        <f t="shared" si="2"/>
        <v>0</v>
      </c>
      <c r="M21" s="289"/>
      <c r="N21" s="289"/>
      <c r="O21" s="289"/>
    </row>
    <row r="22" spans="1:15" ht="30" x14ac:dyDescent="0.25">
      <c r="A22" s="82" t="s">
        <v>8</v>
      </c>
      <c r="B22" s="83" t="s">
        <v>7</v>
      </c>
      <c r="C22" s="83" t="s">
        <v>27</v>
      </c>
      <c r="D22" s="83" t="s">
        <v>127</v>
      </c>
      <c r="E22" s="84" t="s">
        <v>33</v>
      </c>
      <c r="F22" s="84" t="s">
        <v>45</v>
      </c>
      <c r="G22" s="83" t="s">
        <v>22</v>
      </c>
      <c r="H22" s="85">
        <v>41455</v>
      </c>
      <c r="I22" s="83" t="s">
        <v>137</v>
      </c>
      <c r="J22" s="288">
        <v>5.25</v>
      </c>
      <c r="K22" s="288">
        <v>0</v>
      </c>
      <c r="L22" s="288">
        <f t="shared" si="2"/>
        <v>5.25</v>
      </c>
      <c r="M22" s="288"/>
      <c r="N22" s="288"/>
      <c r="O22" s="288"/>
    </row>
    <row r="23" spans="1:15" ht="30" x14ac:dyDescent="0.25">
      <c r="A23" s="90" t="s">
        <v>84</v>
      </c>
      <c r="B23" s="91" t="s">
        <v>7</v>
      </c>
      <c r="C23" s="91" t="s">
        <v>92</v>
      </c>
      <c r="D23" s="91" t="s">
        <v>128</v>
      </c>
      <c r="E23" s="92" t="s">
        <v>33</v>
      </c>
      <c r="F23" s="91" t="s">
        <v>45</v>
      </c>
      <c r="G23" s="91" t="s">
        <v>22</v>
      </c>
      <c r="H23" s="93">
        <v>41455</v>
      </c>
      <c r="I23" s="91" t="s">
        <v>137</v>
      </c>
      <c r="J23" s="289">
        <v>0.03</v>
      </c>
      <c r="K23" s="289">
        <v>0</v>
      </c>
      <c r="L23" s="289">
        <f t="shared" si="2"/>
        <v>0.03</v>
      </c>
      <c r="M23" s="289"/>
      <c r="N23" s="289"/>
      <c r="O23" s="289"/>
    </row>
    <row r="24" spans="1:15" ht="30" x14ac:dyDescent="0.25">
      <c r="A24" s="82" t="s">
        <v>84</v>
      </c>
      <c r="B24" s="83" t="s">
        <v>7</v>
      </c>
      <c r="C24" s="83" t="s">
        <v>27</v>
      </c>
      <c r="D24" s="83" t="s">
        <v>127</v>
      </c>
      <c r="E24" s="84" t="s">
        <v>33</v>
      </c>
      <c r="F24" s="84" t="s">
        <v>45</v>
      </c>
      <c r="G24" s="83" t="s">
        <v>22</v>
      </c>
      <c r="H24" s="85">
        <v>41820</v>
      </c>
      <c r="I24" s="83" t="s">
        <v>138</v>
      </c>
      <c r="J24" s="288">
        <v>0.92</v>
      </c>
      <c r="K24" s="288">
        <v>0</v>
      </c>
      <c r="L24" s="288">
        <f t="shared" si="2"/>
        <v>0.92</v>
      </c>
      <c r="M24" s="288"/>
      <c r="N24" s="288"/>
      <c r="O24" s="288"/>
    </row>
    <row r="25" spans="1:15" ht="30" x14ac:dyDescent="0.25">
      <c r="A25" s="90" t="s">
        <v>8</v>
      </c>
      <c r="B25" s="91" t="s">
        <v>7</v>
      </c>
      <c r="C25" s="91" t="s">
        <v>92</v>
      </c>
      <c r="D25" s="91" t="s">
        <v>128</v>
      </c>
      <c r="E25" s="92" t="s">
        <v>33</v>
      </c>
      <c r="F25" s="91" t="s">
        <v>45</v>
      </c>
      <c r="G25" s="91" t="s">
        <v>22</v>
      </c>
      <c r="H25" s="93">
        <v>41820</v>
      </c>
      <c r="I25" s="91" t="s">
        <v>138</v>
      </c>
      <c r="J25" s="289">
        <v>0.21</v>
      </c>
      <c r="K25" s="289">
        <v>0</v>
      </c>
      <c r="L25" s="289">
        <f t="shared" si="2"/>
        <v>0.21</v>
      </c>
      <c r="M25" s="289"/>
      <c r="N25" s="289"/>
      <c r="O25" s="289"/>
    </row>
    <row r="26" spans="1:15" ht="30" x14ac:dyDescent="0.25">
      <c r="A26" s="82" t="s">
        <v>8</v>
      </c>
      <c r="B26" s="83" t="s">
        <v>7</v>
      </c>
      <c r="C26" s="83"/>
      <c r="D26" s="83"/>
      <c r="E26" s="84"/>
      <c r="F26" s="84"/>
      <c r="G26" s="83"/>
      <c r="H26" s="85"/>
      <c r="I26" s="83" t="s">
        <v>139</v>
      </c>
      <c r="J26" s="288">
        <v>0</v>
      </c>
      <c r="K26" s="288">
        <v>0</v>
      </c>
      <c r="L26" s="288">
        <f t="shared" si="2"/>
        <v>0</v>
      </c>
      <c r="M26" s="288"/>
      <c r="N26" s="288"/>
      <c r="O26" s="288"/>
    </row>
    <row r="27" spans="1:15" ht="30" x14ac:dyDescent="0.25">
      <c r="A27" s="90" t="s">
        <v>8</v>
      </c>
      <c r="B27" s="91" t="s">
        <v>7</v>
      </c>
      <c r="C27" s="91"/>
      <c r="D27" s="91"/>
      <c r="E27" s="92"/>
      <c r="F27" s="91"/>
      <c r="G27" s="91"/>
      <c r="H27" s="93"/>
      <c r="I27" s="91" t="s">
        <v>139</v>
      </c>
      <c r="J27" s="291">
        <v>0</v>
      </c>
      <c r="K27" s="291">
        <v>0</v>
      </c>
      <c r="L27" s="291">
        <f t="shared" si="2"/>
        <v>0</v>
      </c>
      <c r="M27" s="291"/>
      <c r="N27" s="291"/>
      <c r="O27" s="291"/>
    </row>
    <row r="28" spans="1:15" ht="15" x14ac:dyDescent="0.25">
      <c r="A28" s="181"/>
      <c r="B28" s="181"/>
      <c r="C28" s="181"/>
      <c r="D28" s="181"/>
      <c r="E28" s="182"/>
      <c r="F28" s="181"/>
      <c r="G28" s="181"/>
      <c r="H28" s="183" t="s">
        <v>206</v>
      </c>
      <c r="I28" s="181"/>
      <c r="J28" s="290">
        <f>SUM(J20:J27)</f>
        <v>13.23</v>
      </c>
      <c r="K28" s="290">
        <f>SUM(K20:K27)</f>
        <v>-5.86</v>
      </c>
      <c r="L28" s="290">
        <f>SUM(L20:L27)</f>
        <v>7.37</v>
      </c>
      <c r="M28" s="290">
        <v>6.15</v>
      </c>
      <c r="N28" s="290">
        <v>1.23</v>
      </c>
      <c r="O28" s="290">
        <v>0</v>
      </c>
    </row>
    <row r="29" spans="1:15" ht="15" x14ac:dyDescent="0.25">
      <c r="A29" s="901" t="s">
        <v>202</v>
      </c>
      <c r="B29" s="902"/>
      <c r="C29" s="902"/>
      <c r="D29" s="902"/>
      <c r="E29" s="902"/>
      <c r="F29" s="902"/>
      <c r="G29" s="902"/>
      <c r="H29" s="902"/>
      <c r="I29" s="902"/>
      <c r="J29" s="902"/>
      <c r="K29" s="902"/>
      <c r="L29" s="902"/>
      <c r="M29" s="902"/>
      <c r="N29" s="902"/>
      <c r="O29" s="903"/>
    </row>
    <row r="30" spans="1:15" ht="60" x14ac:dyDescent="0.25">
      <c r="A30" s="176" t="s">
        <v>89</v>
      </c>
      <c r="B30" s="176" t="s">
        <v>90</v>
      </c>
      <c r="C30" s="177" t="s">
        <v>0</v>
      </c>
      <c r="D30" s="177" t="s">
        <v>124</v>
      </c>
      <c r="E30" s="176" t="s">
        <v>143</v>
      </c>
      <c r="F30" s="176" t="s">
        <v>144</v>
      </c>
      <c r="G30" s="176" t="s">
        <v>13</v>
      </c>
      <c r="H30" s="176" t="s">
        <v>88</v>
      </c>
      <c r="I30" s="176" t="s">
        <v>12</v>
      </c>
      <c r="J30" s="176" t="s">
        <v>200</v>
      </c>
      <c r="K30" s="176" t="s">
        <v>199</v>
      </c>
      <c r="L30" s="176" t="s">
        <v>201</v>
      </c>
      <c r="M30" s="176" t="s">
        <v>149</v>
      </c>
      <c r="N30" s="176" t="s">
        <v>154</v>
      </c>
      <c r="O30" s="176" t="s">
        <v>205</v>
      </c>
    </row>
    <row r="31" spans="1:15" ht="30" x14ac:dyDescent="0.25">
      <c r="A31" s="90" t="s">
        <v>84</v>
      </c>
      <c r="B31" s="91" t="s">
        <v>9</v>
      </c>
      <c r="C31" s="91" t="s">
        <v>183</v>
      </c>
      <c r="D31" s="91" t="s">
        <v>142</v>
      </c>
      <c r="E31" s="92" t="s">
        <v>142</v>
      </c>
      <c r="F31" s="91" t="s">
        <v>142</v>
      </c>
      <c r="G31" s="91" t="s">
        <v>22</v>
      </c>
      <c r="H31" s="93">
        <v>41449</v>
      </c>
      <c r="I31" s="91" t="s">
        <v>172</v>
      </c>
      <c r="J31" s="292">
        <v>7.0349999999999996E-2</v>
      </c>
      <c r="K31" s="292">
        <v>0</v>
      </c>
      <c r="L31" s="292">
        <v>7.0349999999999996E-2</v>
      </c>
      <c r="M31" s="292">
        <v>6.2E-2</v>
      </c>
      <c r="N31" s="292">
        <f>IF(M31-L31&lt;0,0,M31-L31)</f>
        <v>0</v>
      </c>
      <c r="O31" s="292"/>
    </row>
    <row r="32" spans="1:15" ht="15" x14ac:dyDescent="0.25">
      <c r="A32" s="98"/>
      <c r="B32" s="77"/>
      <c r="C32" s="77"/>
      <c r="D32" s="77"/>
      <c r="E32" s="77"/>
      <c r="F32" s="77"/>
      <c r="G32" s="77"/>
      <c r="H32" s="77"/>
      <c r="I32" s="77"/>
      <c r="J32" s="144"/>
      <c r="K32" s="144"/>
      <c r="L32" s="144"/>
      <c r="M32" s="144"/>
      <c r="N32" s="144"/>
      <c r="O32" s="144"/>
    </row>
    <row r="33" spans="1:15" ht="15" x14ac:dyDescent="0.25">
      <c r="A33" s="77"/>
      <c r="B33" s="77"/>
      <c r="C33" s="77"/>
      <c r="D33" s="77"/>
      <c r="E33" s="77"/>
      <c r="F33" s="77"/>
      <c r="G33" s="77"/>
      <c r="H33" s="77"/>
      <c r="I33" s="77"/>
      <c r="J33" s="77"/>
      <c r="K33" s="77"/>
      <c r="L33" s="77"/>
      <c r="M33" s="77"/>
      <c r="N33" s="77"/>
      <c r="O33" s="77"/>
    </row>
    <row r="34" spans="1:15" ht="15" x14ac:dyDescent="0.25">
      <c r="A34" s="77"/>
      <c r="B34" s="77"/>
      <c r="C34" s="77"/>
      <c r="D34" s="77"/>
      <c r="E34" s="77"/>
      <c r="F34" s="77"/>
      <c r="G34" s="77"/>
      <c r="H34" s="77"/>
      <c r="I34" s="77"/>
      <c r="J34" s="77"/>
      <c r="K34" s="77"/>
      <c r="L34" s="77"/>
      <c r="M34" s="77"/>
      <c r="N34" s="77"/>
      <c r="O34" s="77"/>
    </row>
    <row r="35" spans="1:15" ht="15" x14ac:dyDescent="0.25">
      <c r="A35" s="77"/>
      <c r="B35" s="77"/>
      <c r="C35" s="77"/>
      <c r="D35" s="77"/>
      <c r="E35" s="77"/>
      <c r="F35" s="77"/>
      <c r="G35" s="77"/>
      <c r="H35" s="77"/>
      <c r="I35" s="77"/>
      <c r="J35" s="77"/>
      <c r="K35" s="77"/>
      <c r="L35" s="77"/>
      <c r="M35" s="77"/>
      <c r="N35" s="77"/>
      <c r="O35" s="77"/>
    </row>
    <row r="36" spans="1:15" ht="15" x14ac:dyDescent="0.25">
      <c r="A36" s="77"/>
      <c r="B36" s="77"/>
      <c r="C36" s="77"/>
      <c r="D36" s="77"/>
      <c r="E36" s="77"/>
      <c r="F36" s="77"/>
      <c r="G36" s="77"/>
      <c r="H36" s="77"/>
      <c r="I36" s="77"/>
      <c r="J36" s="77"/>
      <c r="K36" s="77"/>
      <c r="L36" s="77"/>
      <c r="M36" s="77"/>
      <c r="N36" s="77"/>
      <c r="O36" s="77"/>
    </row>
    <row r="37" spans="1:15" ht="15" x14ac:dyDescent="0.25">
      <c r="A37" s="77"/>
      <c r="B37" s="77"/>
      <c r="C37" s="77"/>
      <c r="D37" s="77"/>
      <c r="E37" s="77"/>
      <c r="F37" s="77"/>
      <c r="G37" s="77"/>
      <c r="H37" s="77"/>
      <c r="I37" s="77"/>
      <c r="J37" s="77"/>
      <c r="K37" s="77"/>
      <c r="L37" s="77"/>
      <c r="M37" s="77"/>
      <c r="N37" s="77"/>
      <c r="O37" s="77"/>
    </row>
    <row r="38" spans="1:15" ht="15" x14ac:dyDescent="0.25">
      <c r="A38" s="77"/>
      <c r="B38" s="77"/>
      <c r="C38" s="77"/>
      <c r="D38" s="77"/>
      <c r="E38" s="77"/>
      <c r="F38" s="77"/>
      <c r="G38" s="77"/>
      <c r="H38" s="77"/>
      <c r="I38" s="77"/>
      <c r="J38" s="77"/>
      <c r="K38" s="77"/>
      <c r="L38" s="77"/>
      <c r="M38" s="77"/>
      <c r="N38" s="77"/>
      <c r="O38" s="77"/>
    </row>
    <row r="39" spans="1:15" ht="15" x14ac:dyDescent="0.25">
      <c r="A39" s="77"/>
      <c r="B39" s="77"/>
      <c r="C39" s="77"/>
      <c r="D39" s="77"/>
      <c r="E39" s="77"/>
      <c r="F39" s="77"/>
      <c r="G39" s="77"/>
      <c r="H39" s="77"/>
      <c r="I39" s="77"/>
      <c r="J39" s="77"/>
      <c r="K39" s="77"/>
      <c r="L39" s="77"/>
      <c r="M39" s="77"/>
      <c r="N39" s="77"/>
      <c r="O39" s="77"/>
    </row>
    <row r="40" spans="1:15" ht="15" x14ac:dyDescent="0.25">
      <c r="A40" s="77"/>
      <c r="B40" s="77"/>
      <c r="C40" s="77"/>
      <c r="D40" s="77"/>
      <c r="E40" s="77"/>
      <c r="F40" s="77"/>
      <c r="G40" s="77"/>
      <c r="H40" s="77"/>
      <c r="I40" s="77"/>
      <c r="J40" s="77"/>
      <c r="K40" s="77"/>
      <c r="L40" s="77"/>
      <c r="M40" s="77"/>
      <c r="N40" s="77"/>
      <c r="O40" s="77"/>
    </row>
    <row r="41" spans="1:15" ht="15.6" thickBot="1" x14ac:dyDescent="0.3">
      <c r="A41" s="904" t="s">
        <v>207</v>
      </c>
      <c r="B41" s="904"/>
      <c r="C41" s="904"/>
      <c r="D41" s="904"/>
      <c r="E41" s="904"/>
      <c r="F41" s="904"/>
      <c r="G41" s="904"/>
      <c r="H41" s="904"/>
      <c r="I41" s="904"/>
      <c r="J41" s="904"/>
      <c r="K41" s="904"/>
      <c r="L41" s="904"/>
      <c r="M41" s="904"/>
      <c r="N41" s="904"/>
      <c r="O41" s="904"/>
    </row>
    <row r="42" spans="1:15" ht="15.6" x14ac:dyDescent="0.3">
      <c r="A42" s="905"/>
      <c r="B42" s="905"/>
      <c r="C42" s="905"/>
      <c r="D42" s="905"/>
      <c r="E42" s="905"/>
      <c r="F42" s="905"/>
      <c r="G42" s="77"/>
      <c r="H42" s="77"/>
      <c r="I42" s="77"/>
      <c r="J42" s="77"/>
      <c r="K42" s="77"/>
      <c r="L42" s="77"/>
      <c r="M42" s="77"/>
      <c r="N42" s="77"/>
      <c r="O42" s="77"/>
    </row>
    <row r="43" spans="1:15" ht="15.6" x14ac:dyDescent="0.3">
      <c r="A43" s="202"/>
      <c r="B43" s="203"/>
      <c r="C43" s="203"/>
      <c r="D43" s="202"/>
      <c r="E43" s="202"/>
      <c r="F43" s="202"/>
      <c r="G43" s="77"/>
      <c r="H43" s="203"/>
      <c r="I43" s="77"/>
      <c r="J43" s="77"/>
      <c r="K43" s="77"/>
      <c r="L43" s="77"/>
      <c r="M43" s="77"/>
      <c r="N43" s="77"/>
      <c r="O43" s="77"/>
    </row>
    <row r="44" spans="1:15" ht="15" x14ac:dyDescent="0.25">
      <c r="A44" s="168"/>
      <c r="B44" s="168"/>
      <c r="C44" s="168"/>
      <c r="D44" s="168"/>
      <c r="E44" s="168"/>
      <c r="F44" s="168"/>
      <c r="G44" s="77"/>
      <c r="H44" s="77"/>
      <c r="I44" s="77"/>
      <c r="J44" s="77"/>
      <c r="K44" s="77"/>
      <c r="L44" s="77"/>
      <c r="M44" s="77"/>
      <c r="N44" s="77"/>
      <c r="O44" s="77"/>
    </row>
    <row r="45" spans="1:15" ht="15" x14ac:dyDescent="0.25">
      <c r="A45" s="211"/>
      <c r="B45" s="204"/>
      <c r="C45" s="204"/>
      <c r="D45" s="204"/>
      <c r="E45" s="204"/>
      <c r="F45" s="205"/>
      <c r="G45" s="77"/>
      <c r="H45" s="144"/>
      <c r="I45" s="77"/>
      <c r="J45" s="77"/>
      <c r="K45" s="77"/>
      <c r="L45" s="77"/>
      <c r="M45" s="77"/>
      <c r="N45" s="77"/>
      <c r="O45" s="77"/>
    </row>
    <row r="46" spans="1:15" ht="15" x14ac:dyDescent="0.25">
      <c r="A46" s="211"/>
      <c r="B46" s="204"/>
      <c r="C46" s="204"/>
      <c r="D46" s="204"/>
      <c r="E46" s="204"/>
      <c r="F46" s="205"/>
      <c r="G46" s="77"/>
      <c r="H46" s="77"/>
      <c r="I46" s="77"/>
      <c r="J46" s="77"/>
      <c r="K46" s="77"/>
      <c r="L46" s="77"/>
      <c r="M46" s="77"/>
      <c r="N46" s="77"/>
      <c r="O46" s="77"/>
    </row>
    <row r="47" spans="1:15" ht="15" x14ac:dyDescent="0.25">
      <c r="A47" s="168"/>
      <c r="B47" s="204"/>
      <c r="C47" s="204"/>
      <c r="D47" s="204"/>
      <c r="E47" s="204"/>
      <c r="F47" s="205"/>
      <c r="G47" s="77"/>
      <c r="H47" s="144"/>
      <c r="I47" s="77"/>
      <c r="J47" s="77"/>
      <c r="K47" s="77"/>
      <c r="L47" s="77"/>
      <c r="M47" s="77"/>
      <c r="N47" s="77"/>
      <c r="O47" s="77"/>
    </row>
    <row r="48" spans="1:15" ht="15" x14ac:dyDescent="0.25">
      <c r="A48" s="211"/>
      <c r="B48" s="204"/>
      <c r="C48" s="204"/>
      <c r="D48" s="204"/>
      <c r="E48" s="204"/>
      <c r="F48" s="205"/>
      <c r="G48" s="77"/>
      <c r="H48" s="144"/>
      <c r="I48" s="77"/>
      <c r="J48" s="77"/>
      <c r="K48" s="77"/>
      <c r="L48" s="77"/>
      <c r="M48" s="77"/>
      <c r="N48" s="77"/>
      <c r="O48" s="77"/>
    </row>
    <row r="49" spans="1:15" ht="15" x14ac:dyDescent="0.25">
      <c r="A49" s="168"/>
      <c r="B49" s="204"/>
      <c r="C49" s="204"/>
      <c r="D49" s="204"/>
      <c r="E49" s="204"/>
      <c r="F49" s="205"/>
      <c r="G49" s="77"/>
      <c r="H49" s="144"/>
      <c r="I49" s="77"/>
      <c r="J49" s="77"/>
      <c r="K49" s="77"/>
      <c r="L49" s="77"/>
      <c r="M49" s="77"/>
      <c r="N49" s="77"/>
      <c r="O49" s="77"/>
    </row>
    <row r="50" spans="1:15" ht="15" x14ac:dyDescent="0.25">
      <c r="A50" s="168"/>
      <c r="B50" s="204"/>
      <c r="C50" s="204"/>
      <c r="D50" s="204"/>
      <c r="E50" s="204"/>
      <c r="F50" s="205"/>
      <c r="G50" s="77"/>
      <c r="H50" s="144"/>
      <c r="I50" s="77"/>
      <c r="J50" s="77"/>
      <c r="K50" s="77"/>
      <c r="L50" s="77"/>
      <c r="M50" s="77"/>
      <c r="N50" s="77"/>
      <c r="O50" s="77"/>
    </row>
    <row r="51" spans="1:15" ht="16.8" x14ac:dyDescent="0.4">
      <c r="A51" s="168"/>
      <c r="B51" s="206"/>
      <c r="C51" s="206"/>
      <c r="D51" s="206"/>
      <c r="E51" s="206"/>
      <c r="F51" s="207"/>
      <c r="G51" s="77"/>
      <c r="H51" s="212"/>
      <c r="I51" s="77"/>
      <c r="J51" s="77"/>
      <c r="K51" s="77"/>
      <c r="L51" s="77"/>
      <c r="M51" s="77"/>
      <c r="N51" s="77"/>
      <c r="O51" s="77"/>
    </row>
    <row r="52" spans="1:15" ht="16.8" x14ac:dyDescent="0.4">
      <c r="A52" s="168"/>
      <c r="B52" s="209"/>
      <c r="C52" s="209"/>
      <c r="D52" s="209"/>
      <c r="E52" s="209"/>
      <c r="F52" s="210"/>
      <c r="G52" s="77"/>
      <c r="H52" s="208"/>
      <c r="I52" s="77"/>
      <c r="J52" s="77"/>
      <c r="K52" s="77"/>
      <c r="L52" s="77"/>
      <c r="M52" s="77"/>
      <c r="N52" s="77"/>
      <c r="O52" s="77"/>
    </row>
    <row r="53" spans="1:15" ht="15" x14ac:dyDescent="0.25">
      <c r="A53" s="168"/>
      <c r="B53" s="168"/>
      <c r="C53" s="168"/>
      <c r="D53" s="168"/>
      <c r="E53" s="168"/>
      <c r="F53" s="168"/>
      <c r="G53" s="77"/>
      <c r="H53" s="77"/>
      <c r="I53" s="77"/>
      <c r="J53" s="77"/>
      <c r="K53" s="77"/>
      <c r="L53" s="77"/>
      <c r="M53" s="77"/>
      <c r="N53" s="77"/>
      <c r="O53" s="77"/>
    </row>
    <row r="54" spans="1:15" ht="15" x14ac:dyDescent="0.25">
      <c r="A54" s="77"/>
      <c r="B54" s="77"/>
      <c r="C54" s="77"/>
      <c r="D54" s="77"/>
      <c r="E54" s="77"/>
      <c r="F54" s="77"/>
      <c r="G54" s="77"/>
      <c r="H54" s="77"/>
      <c r="I54" s="77"/>
      <c r="J54" s="77"/>
      <c r="K54" s="77"/>
      <c r="L54" s="77"/>
      <c r="M54" s="77"/>
      <c r="N54" s="77"/>
      <c r="O54" s="77"/>
    </row>
    <row r="55" spans="1:15" ht="15" x14ac:dyDescent="0.25">
      <c r="A55" s="77"/>
      <c r="B55" s="77"/>
      <c r="C55" s="77"/>
      <c r="D55" s="77"/>
      <c r="E55" s="77"/>
      <c r="F55" s="77"/>
      <c r="G55" s="77"/>
      <c r="H55" s="77"/>
      <c r="I55" s="77"/>
      <c r="J55" s="77"/>
      <c r="K55" s="77"/>
      <c r="L55" s="77"/>
      <c r="M55" s="77"/>
      <c r="N55" s="77"/>
      <c r="O55" s="77"/>
    </row>
    <row r="56" spans="1:15" ht="15" x14ac:dyDescent="0.25">
      <c r="A56" s="77"/>
      <c r="B56" s="77"/>
      <c r="C56" s="77"/>
      <c r="D56" s="77"/>
      <c r="E56" s="77"/>
      <c r="F56" s="77"/>
      <c r="G56" s="77"/>
      <c r="H56" s="77"/>
      <c r="I56" s="77"/>
      <c r="J56" s="77"/>
      <c r="K56" s="77"/>
      <c r="L56" s="77"/>
      <c r="M56" s="77"/>
      <c r="N56" s="77"/>
      <c r="O56" s="77"/>
    </row>
    <row r="57" spans="1:15" ht="15" x14ac:dyDescent="0.25">
      <c r="A57" s="77"/>
      <c r="B57" s="77"/>
      <c r="C57" s="77"/>
      <c r="D57" s="77"/>
      <c r="E57" s="77"/>
      <c r="F57" s="77"/>
      <c r="G57" s="77"/>
      <c r="H57" s="77"/>
      <c r="I57" s="77"/>
      <c r="J57" s="77"/>
      <c r="K57" s="77"/>
      <c r="L57" s="77"/>
      <c r="M57" s="77"/>
      <c r="N57" s="77"/>
      <c r="O57" s="77"/>
    </row>
    <row r="58" spans="1:15" ht="15" x14ac:dyDescent="0.25">
      <c r="A58" s="77"/>
      <c r="B58" s="77"/>
      <c r="C58" s="77"/>
      <c r="D58" s="77"/>
      <c r="E58" s="77"/>
      <c r="F58" s="77"/>
      <c r="G58" s="77"/>
      <c r="H58" s="77"/>
      <c r="I58" s="77"/>
      <c r="J58" s="77"/>
      <c r="K58" s="77"/>
      <c r="L58" s="77"/>
      <c r="M58" s="77"/>
      <c r="N58" s="77"/>
      <c r="O58" s="77"/>
    </row>
    <row r="59" spans="1:15" ht="15" x14ac:dyDescent="0.25">
      <c r="A59" s="77"/>
      <c r="B59" s="77"/>
      <c r="C59" s="77"/>
      <c r="D59" s="77"/>
      <c r="E59" s="77"/>
      <c r="F59" s="77"/>
      <c r="G59" s="77"/>
      <c r="H59" s="77"/>
      <c r="I59" s="77"/>
      <c r="J59" s="77"/>
      <c r="K59" s="77"/>
      <c r="L59" s="77"/>
      <c r="M59" s="77"/>
      <c r="N59" s="77"/>
      <c r="O59" s="77"/>
    </row>
    <row r="60" spans="1:15" ht="15" x14ac:dyDescent="0.25">
      <c r="A60" s="77"/>
      <c r="B60" s="77"/>
      <c r="C60" s="77"/>
      <c r="D60" s="77"/>
      <c r="E60" s="77"/>
      <c r="F60" s="77"/>
      <c r="G60" s="77"/>
      <c r="H60" s="77"/>
      <c r="I60" s="77"/>
      <c r="J60" s="77"/>
      <c r="K60" s="77"/>
      <c r="L60" s="77"/>
      <c r="M60" s="77"/>
      <c r="N60" s="77"/>
      <c r="O60" s="77"/>
    </row>
    <row r="61" spans="1:15" ht="15" x14ac:dyDescent="0.25">
      <c r="A61" s="77"/>
      <c r="B61" s="77"/>
      <c r="C61" s="77"/>
      <c r="D61" s="77"/>
      <c r="E61" s="77"/>
      <c r="F61" s="77"/>
      <c r="G61" s="77"/>
      <c r="H61" s="77"/>
      <c r="I61" s="77"/>
      <c r="J61" s="77"/>
      <c r="K61" s="77"/>
      <c r="L61" s="77"/>
      <c r="M61" s="77"/>
      <c r="N61" s="77"/>
      <c r="O61" s="77"/>
    </row>
    <row r="62" spans="1:15" ht="15" x14ac:dyDescent="0.25">
      <c r="A62" s="77"/>
      <c r="B62" s="77"/>
      <c r="C62" s="77"/>
      <c r="D62" s="77"/>
      <c r="E62" s="77"/>
      <c r="F62" s="77"/>
      <c r="G62" s="77"/>
      <c r="H62" s="77"/>
      <c r="I62" s="77"/>
      <c r="J62" s="77"/>
      <c r="K62" s="77"/>
      <c r="L62" s="77"/>
      <c r="M62" s="77"/>
      <c r="N62" s="77"/>
      <c r="O62" s="77"/>
    </row>
    <row r="63" spans="1:15" ht="15" x14ac:dyDescent="0.25">
      <c r="A63" s="77"/>
      <c r="B63" s="77"/>
      <c r="C63" s="77"/>
      <c r="D63" s="77"/>
      <c r="E63" s="77"/>
      <c r="F63" s="77"/>
      <c r="G63" s="77"/>
      <c r="H63" s="77"/>
      <c r="I63" s="77"/>
      <c r="J63" s="77"/>
      <c r="K63" s="77"/>
      <c r="L63" s="77"/>
      <c r="M63" s="77"/>
      <c r="N63" s="77"/>
      <c r="O63" s="77"/>
    </row>
    <row r="64" spans="1:15" ht="15" x14ac:dyDescent="0.25">
      <c r="A64" s="77"/>
      <c r="B64" s="77"/>
      <c r="C64" s="77"/>
      <c r="D64" s="77"/>
      <c r="E64" s="77"/>
      <c r="F64" s="77"/>
      <c r="G64" s="77"/>
      <c r="H64" s="77"/>
      <c r="I64" s="77"/>
      <c r="J64" s="77"/>
      <c r="K64" s="77"/>
      <c r="L64" s="77"/>
      <c r="M64" s="77"/>
      <c r="N64" s="77"/>
      <c r="O64" s="77"/>
    </row>
    <row r="65" spans="1:15" ht="15" x14ac:dyDescent="0.25">
      <c r="A65" s="77"/>
      <c r="B65" s="77"/>
      <c r="C65" s="77"/>
      <c r="D65" s="77"/>
      <c r="E65" s="77"/>
      <c r="F65" s="77"/>
      <c r="G65" s="77"/>
      <c r="H65" s="77"/>
      <c r="I65" s="77"/>
      <c r="J65" s="77"/>
      <c r="K65" s="77"/>
      <c r="L65" s="77"/>
      <c r="M65" s="77"/>
      <c r="N65" s="77"/>
      <c r="O65" s="77"/>
    </row>
    <row r="66" spans="1:15" ht="15" x14ac:dyDescent="0.25">
      <c r="A66" s="77"/>
      <c r="B66" s="77"/>
      <c r="C66" s="77"/>
      <c r="D66" s="77"/>
      <c r="E66" s="77"/>
      <c r="F66" s="77"/>
      <c r="G66" s="77"/>
      <c r="H66" s="77"/>
      <c r="I66" s="77"/>
      <c r="J66" s="77"/>
      <c r="K66" s="77"/>
      <c r="L66" s="77"/>
      <c r="M66" s="77"/>
      <c r="N66" s="77"/>
      <c r="O66" s="77"/>
    </row>
    <row r="67" spans="1:15" ht="15" x14ac:dyDescent="0.25">
      <c r="A67" s="77"/>
      <c r="B67" s="77"/>
      <c r="C67" s="77"/>
      <c r="D67" s="77"/>
      <c r="E67" s="77"/>
      <c r="F67" s="77"/>
      <c r="G67" s="77"/>
      <c r="H67" s="77"/>
      <c r="I67" s="77"/>
      <c r="J67" s="77"/>
      <c r="K67" s="77"/>
      <c r="L67" s="77"/>
      <c r="M67" s="77"/>
      <c r="N67" s="77"/>
      <c r="O67" s="77"/>
    </row>
    <row r="68" spans="1:15" ht="15" x14ac:dyDescent="0.25">
      <c r="A68" s="77"/>
      <c r="B68" s="77"/>
      <c r="C68" s="77"/>
      <c r="D68" s="77"/>
      <c r="E68" s="77"/>
      <c r="F68" s="77"/>
      <c r="G68" s="77"/>
      <c r="H68" s="77"/>
      <c r="I68" s="77"/>
      <c r="J68" s="77"/>
      <c r="K68" s="77"/>
      <c r="L68" s="77"/>
      <c r="M68" s="77"/>
      <c r="N68" s="77"/>
      <c r="O68" s="77"/>
    </row>
    <row r="69" spans="1:15" ht="15" x14ac:dyDescent="0.25">
      <c r="A69" s="77"/>
      <c r="B69" s="77"/>
      <c r="C69" s="77"/>
      <c r="D69" s="77"/>
      <c r="E69" s="77"/>
      <c r="F69" s="77"/>
      <c r="G69" s="77"/>
      <c r="H69" s="77"/>
      <c r="I69" s="77"/>
      <c r="J69" s="77"/>
      <c r="K69" s="77"/>
      <c r="L69" s="77"/>
      <c r="M69" s="77"/>
      <c r="N69" s="77"/>
      <c r="O69" s="77"/>
    </row>
    <row r="70" spans="1:15" ht="15" x14ac:dyDescent="0.25">
      <c r="A70" s="77"/>
      <c r="B70" s="77"/>
      <c r="C70" s="77"/>
      <c r="D70" s="77"/>
      <c r="E70" s="77"/>
      <c r="F70" s="77"/>
      <c r="G70" s="77"/>
      <c r="H70" s="77"/>
      <c r="I70" s="77"/>
      <c r="J70" s="77"/>
      <c r="K70" s="77"/>
      <c r="L70" s="77"/>
      <c r="M70" s="77"/>
      <c r="N70" s="77"/>
      <c r="O70" s="77"/>
    </row>
    <row r="71" spans="1:15" ht="15" x14ac:dyDescent="0.25">
      <c r="A71" s="77"/>
      <c r="B71" s="77"/>
      <c r="C71" s="77"/>
      <c r="D71" s="77"/>
      <c r="E71" s="77"/>
      <c r="F71" s="77"/>
      <c r="G71" s="77"/>
      <c r="H71" s="77"/>
      <c r="I71" s="77"/>
      <c r="J71" s="77"/>
      <c r="K71" s="77"/>
      <c r="L71" s="77"/>
      <c r="M71" s="77"/>
      <c r="N71" s="77"/>
      <c r="O71" s="77"/>
    </row>
    <row r="72" spans="1:15" ht="15" x14ac:dyDescent="0.25">
      <c r="A72" s="77"/>
      <c r="B72" s="77"/>
      <c r="C72" s="77"/>
      <c r="D72" s="77"/>
      <c r="E72" s="77"/>
      <c r="F72" s="77"/>
      <c r="G72" s="77"/>
      <c r="H72" s="77"/>
      <c r="I72" s="77"/>
      <c r="J72" s="77"/>
      <c r="K72" s="77"/>
      <c r="L72" s="77"/>
      <c r="M72" s="77"/>
      <c r="N72" s="77"/>
      <c r="O72" s="77"/>
    </row>
    <row r="73" spans="1:15" ht="15" x14ac:dyDescent="0.25">
      <c r="A73" s="77"/>
      <c r="B73" s="77"/>
      <c r="C73" s="77"/>
      <c r="D73" s="77"/>
      <c r="E73" s="77"/>
      <c r="F73" s="77"/>
      <c r="G73" s="77"/>
      <c r="H73" s="77"/>
      <c r="I73" s="77"/>
      <c r="J73" s="77"/>
      <c r="K73" s="77"/>
      <c r="L73" s="77"/>
      <c r="M73" s="77"/>
      <c r="N73" s="77"/>
      <c r="O73" s="77"/>
    </row>
    <row r="74" spans="1:15" ht="15" x14ac:dyDescent="0.25">
      <c r="A74" s="77"/>
      <c r="B74" s="77"/>
      <c r="C74" s="77"/>
      <c r="D74" s="77"/>
      <c r="E74" s="77"/>
      <c r="F74" s="77"/>
      <c r="G74" s="77"/>
      <c r="H74" s="77"/>
      <c r="I74" s="77"/>
      <c r="J74" s="77"/>
      <c r="K74" s="77"/>
      <c r="L74" s="77"/>
      <c r="M74" s="77"/>
      <c r="N74" s="77"/>
      <c r="O74" s="77"/>
    </row>
    <row r="75" spans="1:15" ht="15" x14ac:dyDescent="0.25">
      <c r="A75" s="77"/>
      <c r="B75" s="77"/>
      <c r="C75" s="77"/>
      <c r="D75" s="77"/>
      <c r="E75" s="77"/>
      <c r="F75" s="77"/>
      <c r="G75" s="77"/>
      <c r="H75" s="77"/>
      <c r="I75" s="77"/>
      <c r="J75" s="77"/>
      <c r="K75" s="77"/>
      <c r="L75" s="77"/>
      <c r="M75" s="77"/>
      <c r="N75" s="77"/>
      <c r="O75" s="77"/>
    </row>
    <row r="76" spans="1:15" ht="15" x14ac:dyDescent="0.25">
      <c r="A76" s="77"/>
      <c r="B76" s="77"/>
      <c r="C76" s="77"/>
      <c r="D76" s="77"/>
      <c r="E76" s="77"/>
      <c r="F76" s="77"/>
      <c r="G76" s="77"/>
      <c r="H76" s="77"/>
      <c r="I76" s="77"/>
      <c r="J76" s="77"/>
      <c r="K76" s="77"/>
      <c r="L76" s="77"/>
      <c r="M76" s="77"/>
      <c r="N76" s="77"/>
      <c r="O76" s="77"/>
    </row>
    <row r="77" spans="1:15" ht="15" x14ac:dyDescent="0.25">
      <c r="A77" s="77"/>
      <c r="B77" s="77"/>
      <c r="C77" s="77"/>
      <c r="D77" s="77"/>
      <c r="E77" s="77"/>
      <c r="F77" s="77"/>
      <c r="G77" s="77"/>
      <c r="H77" s="77"/>
      <c r="I77" s="77"/>
      <c r="J77" s="77"/>
      <c r="K77" s="77"/>
      <c r="L77" s="77"/>
      <c r="M77" s="77"/>
      <c r="N77" s="77"/>
      <c r="O77" s="77"/>
    </row>
    <row r="78" spans="1:15" ht="15" x14ac:dyDescent="0.25">
      <c r="A78" s="77"/>
      <c r="B78" s="77"/>
      <c r="C78" s="77"/>
      <c r="D78" s="77"/>
      <c r="E78" s="77"/>
      <c r="F78" s="77"/>
      <c r="G78" s="77"/>
      <c r="H78" s="77"/>
      <c r="I78" s="77"/>
      <c r="J78" s="77"/>
      <c r="K78" s="77"/>
      <c r="L78" s="77"/>
      <c r="M78" s="77"/>
      <c r="N78" s="77"/>
      <c r="O78" s="77"/>
    </row>
    <row r="79" spans="1:15" ht="15" x14ac:dyDescent="0.25">
      <c r="A79" s="77"/>
      <c r="B79" s="77"/>
      <c r="C79" s="77"/>
      <c r="D79" s="77"/>
      <c r="E79" s="77"/>
      <c r="F79" s="77"/>
      <c r="G79" s="77"/>
      <c r="H79" s="77"/>
      <c r="I79" s="77"/>
      <c r="J79" s="77"/>
      <c r="K79" s="77"/>
      <c r="L79" s="77"/>
      <c r="M79" s="77"/>
      <c r="N79" s="77"/>
      <c r="O79" s="77"/>
    </row>
    <row r="80" spans="1:15" ht="15" x14ac:dyDescent="0.25">
      <c r="A80" s="77"/>
      <c r="B80" s="77"/>
      <c r="C80" s="77"/>
      <c r="D80" s="77"/>
      <c r="E80" s="77"/>
      <c r="F80" s="77"/>
      <c r="G80" s="77"/>
      <c r="H80" s="77"/>
      <c r="I80" s="77"/>
      <c r="J80" s="77"/>
      <c r="K80" s="77"/>
      <c r="L80" s="77"/>
      <c r="M80" s="77"/>
      <c r="N80" s="77"/>
      <c r="O80" s="77"/>
    </row>
    <row r="81" spans="1:15" ht="15" x14ac:dyDescent="0.25">
      <c r="A81" s="77"/>
      <c r="B81" s="77"/>
      <c r="C81" s="77"/>
      <c r="D81" s="77"/>
      <c r="E81" s="77"/>
      <c r="F81" s="77"/>
      <c r="G81" s="77"/>
      <c r="H81" s="77"/>
      <c r="I81" s="77"/>
      <c r="J81" s="77"/>
      <c r="K81" s="77"/>
      <c r="L81" s="77"/>
      <c r="M81" s="77"/>
      <c r="N81" s="77"/>
      <c r="O81" s="77"/>
    </row>
    <row r="82" spans="1:15" ht="15" x14ac:dyDescent="0.25">
      <c r="A82" s="77"/>
      <c r="B82" s="77"/>
      <c r="C82" s="77"/>
      <c r="D82" s="77"/>
      <c r="E82" s="77"/>
      <c r="F82" s="77"/>
      <c r="G82" s="77"/>
      <c r="H82" s="77"/>
      <c r="I82" s="77"/>
      <c r="J82" s="77"/>
      <c r="K82" s="77"/>
      <c r="L82" s="77"/>
      <c r="M82" s="77"/>
      <c r="N82" s="77"/>
      <c r="O82" s="77"/>
    </row>
    <row r="83" spans="1:15" ht="15" x14ac:dyDescent="0.25">
      <c r="A83" s="77"/>
      <c r="B83" s="77"/>
      <c r="C83" s="77"/>
      <c r="D83" s="77"/>
      <c r="E83" s="77"/>
      <c r="F83" s="77"/>
      <c r="G83" s="77"/>
      <c r="H83" s="77"/>
      <c r="I83" s="77"/>
      <c r="J83" s="77"/>
      <c r="K83" s="77"/>
      <c r="L83" s="77"/>
      <c r="M83" s="77"/>
      <c r="N83" s="77"/>
      <c r="O83" s="77"/>
    </row>
    <row r="84" spans="1:15" ht="15" x14ac:dyDescent="0.25">
      <c r="A84" s="77"/>
      <c r="B84" s="77"/>
      <c r="C84" s="77"/>
      <c r="D84" s="77"/>
      <c r="E84" s="77"/>
      <c r="F84" s="77"/>
      <c r="G84" s="77"/>
      <c r="H84" s="77"/>
      <c r="I84" s="77"/>
      <c r="J84" s="77"/>
      <c r="K84" s="77"/>
      <c r="L84" s="77"/>
      <c r="M84" s="77"/>
      <c r="N84" s="77"/>
      <c r="O84" s="77"/>
    </row>
    <row r="85" spans="1:15" ht="15" x14ac:dyDescent="0.25">
      <c r="A85" s="77"/>
      <c r="B85" s="77"/>
      <c r="C85" s="77"/>
      <c r="D85" s="77"/>
      <c r="E85" s="77"/>
      <c r="F85" s="77"/>
      <c r="G85" s="77"/>
      <c r="H85" s="77"/>
      <c r="I85" s="77"/>
      <c r="J85" s="77"/>
      <c r="K85" s="77"/>
      <c r="L85" s="77"/>
      <c r="M85" s="77"/>
      <c r="N85" s="77"/>
      <c r="O85" s="77"/>
    </row>
    <row r="86" spans="1:15" ht="15" x14ac:dyDescent="0.25">
      <c r="A86" s="77"/>
      <c r="B86" s="77"/>
      <c r="C86" s="77"/>
      <c r="D86" s="77"/>
      <c r="E86" s="77"/>
      <c r="F86" s="77"/>
      <c r="G86" s="77"/>
      <c r="H86" s="77"/>
      <c r="I86" s="77"/>
      <c r="J86" s="77"/>
      <c r="K86" s="77"/>
      <c r="L86" s="77"/>
      <c r="M86" s="77"/>
      <c r="N86" s="77"/>
      <c r="O86" s="77"/>
    </row>
    <row r="87" spans="1:15" ht="15" x14ac:dyDescent="0.25">
      <c r="A87" s="77"/>
      <c r="B87" s="77"/>
      <c r="C87" s="77"/>
      <c r="D87" s="77"/>
      <c r="E87" s="77"/>
      <c r="F87" s="77"/>
      <c r="G87" s="77"/>
      <c r="H87" s="77"/>
      <c r="I87" s="77"/>
      <c r="J87" s="77"/>
      <c r="K87" s="77"/>
      <c r="L87" s="77"/>
      <c r="M87" s="77"/>
      <c r="N87" s="77"/>
      <c r="O87" s="77"/>
    </row>
    <row r="88" spans="1:15" ht="15" x14ac:dyDescent="0.25">
      <c r="A88" s="77"/>
      <c r="B88" s="77"/>
      <c r="C88" s="77"/>
      <c r="D88" s="77"/>
      <c r="E88" s="77"/>
      <c r="F88" s="77"/>
      <c r="G88" s="77"/>
      <c r="H88" s="77"/>
      <c r="I88" s="77"/>
      <c r="J88" s="77"/>
      <c r="K88" s="77"/>
      <c r="L88" s="77"/>
      <c r="M88" s="77"/>
      <c r="N88" s="77"/>
      <c r="O88" s="77"/>
    </row>
    <row r="89" spans="1:15" ht="15" x14ac:dyDescent="0.25">
      <c r="A89" s="77"/>
      <c r="B89" s="77"/>
      <c r="C89" s="77"/>
      <c r="D89" s="77"/>
      <c r="E89" s="77"/>
      <c r="F89" s="77"/>
      <c r="G89" s="77"/>
      <c r="H89" s="77"/>
      <c r="I89" s="77"/>
      <c r="J89" s="77"/>
      <c r="K89" s="77"/>
      <c r="L89" s="77"/>
      <c r="M89" s="77"/>
      <c r="N89" s="77"/>
      <c r="O89" s="77"/>
    </row>
    <row r="90" spans="1:15" ht="15" x14ac:dyDescent="0.25">
      <c r="A90" s="77"/>
      <c r="B90" s="77"/>
      <c r="C90" s="77"/>
      <c r="D90" s="77"/>
      <c r="E90" s="77"/>
      <c r="F90" s="77"/>
      <c r="G90" s="77"/>
      <c r="H90" s="77"/>
      <c r="I90" s="77"/>
      <c r="J90" s="77"/>
      <c r="K90" s="77"/>
      <c r="L90" s="77"/>
      <c r="M90" s="77"/>
      <c r="N90" s="77"/>
      <c r="O90" s="77"/>
    </row>
    <row r="91" spans="1:15" ht="15" x14ac:dyDescent="0.25">
      <c r="A91" s="77"/>
      <c r="B91" s="77"/>
      <c r="C91" s="77"/>
      <c r="D91" s="77"/>
      <c r="E91" s="77"/>
      <c r="F91" s="77"/>
      <c r="G91" s="77"/>
      <c r="H91" s="77"/>
      <c r="I91" s="77"/>
      <c r="J91" s="77"/>
      <c r="K91" s="77"/>
      <c r="L91" s="77"/>
      <c r="M91" s="77"/>
      <c r="N91" s="77"/>
      <c r="O91" s="77"/>
    </row>
    <row r="92" spans="1:15" ht="15" x14ac:dyDescent="0.25">
      <c r="A92" s="77"/>
      <c r="B92" s="77"/>
      <c r="C92" s="77"/>
      <c r="D92" s="77"/>
      <c r="E92" s="77"/>
      <c r="F92" s="77"/>
      <c r="G92" s="77"/>
      <c r="H92" s="77"/>
      <c r="I92" s="77"/>
      <c r="J92" s="77"/>
      <c r="K92" s="77"/>
      <c r="L92" s="77"/>
      <c r="M92" s="77"/>
      <c r="N92" s="77"/>
      <c r="O92" s="77"/>
    </row>
    <row r="93" spans="1:15" ht="15" x14ac:dyDescent="0.25">
      <c r="A93" s="77"/>
      <c r="B93" s="77"/>
      <c r="C93" s="77"/>
      <c r="D93" s="77"/>
      <c r="E93" s="77"/>
      <c r="F93" s="77"/>
      <c r="G93" s="77"/>
      <c r="H93" s="77"/>
      <c r="I93" s="77"/>
      <c r="J93" s="77"/>
      <c r="K93" s="77"/>
      <c r="L93" s="77"/>
      <c r="M93" s="77"/>
      <c r="N93" s="77"/>
      <c r="O93" s="77"/>
    </row>
    <row r="94" spans="1:15" ht="15" x14ac:dyDescent="0.25">
      <c r="A94" s="77"/>
      <c r="B94" s="77"/>
      <c r="C94" s="77"/>
      <c r="D94" s="77"/>
      <c r="E94" s="77"/>
      <c r="F94" s="77"/>
      <c r="G94" s="77"/>
      <c r="H94" s="77"/>
      <c r="I94" s="77"/>
      <c r="J94" s="77"/>
      <c r="K94" s="77"/>
      <c r="L94" s="77"/>
      <c r="M94" s="77"/>
      <c r="N94" s="77"/>
      <c r="O94" s="77"/>
    </row>
    <row r="95" spans="1:15" ht="15" x14ac:dyDescent="0.25">
      <c r="A95" s="77"/>
      <c r="B95" s="77"/>
      <c r="C95" s="77"/>
      <c r="D95" s="77"/>
      <c r="E95" s="77"/>
      <c r="F95" s="77"/>
      <c r="G95" s="77"/>
      <c r="H95" s="77"/>
      <c r="I95" s="77"/>
      <c r="J95" s="77"/>
      <c r="K95" s="77"/>
      <c r="L95" s="77"/>
      <c r="M95" s="77"/>
      <c r="N95" s="77"/>
      <c r="O95" s="77"/>
    </row>
    <row r="96" spans="1:15" ht="15" x14ac:dyDescent="0.25">
      <c r="A96" s="77"/>
      <c r="B96" s="77"/>
      <c r="C96" s="77"/>
      <c r="D96" s="77"/>
      <c r="E96" s="77"/>
      <c r="F96" s="77"/>
      <c r="G96" s="77"/>
      <c r="H96" s="77"/>
      <c r="I96" s="77"/>
      <c r="J96" s="77"/>
      <c r="K96" s="77"/>
      <c r="L96" s="77"/>
      <c r="M96" s="77"/>
      <c r="N96" s="77"/>
      <c r="O96" s="77"/>
    </row>
    <row r="97" spans="1:15" ht="15" x14ac:dyDescent="0.25">
      <c r="A97" s="77"/>
      <c r="B97" s="77"/>
      <c r="C97" s="77"/>
      <c r="D97" s="77"/>
      <c r="E97" s="77"/>
      <c r="F97" s="77"/>
      <c r="G97" s="77"/>
      <c r="H97" s="77"/>
      <c r="I97" s="77"/>
      <c r="J97" s="77"/>
      <c r="K97" s="77"/>
      <c r="L97" s="77"/>
      <c r="M97" s="77"/>
      <c r="N97" s="77"/>
      <c r="O97" s="77"/>
    </row>
    <row r="98" spans="1:15" ht="15" x14ac:dyDescent="0.25">
      <c r="A98" s="77"/>
      <c r="B98" s="77"/>
      <c r="C98" s="77"/>
      <c r="D98" s="77"/>
      <c r="E98" s="77"/>
      <c r="F98" s="77"/>
      <c r="G98" s="77"/>
      <c r="H98" s="77"/>
      <c r="I98" s="77"/>
      <c r="J98" s="77"/>
      <c r="K98" s="77"/>
      <c r="L98" s="77"/>
      <c r="M98" s="77"/>
      <c r="N98" s="77"/>
      <c r="O98" s="77"/>
    </row>
    <row r="99" spans="1:15" ht="15" x14ac:dyDescent="0.25">
      <c r="A99" s="77"/>
      <c r="B99" s="77"/>
      <c r="C99" s="77"/>
      <c r="D99" s="77"/>
      <c r="E99" s="77"/>
      <c r="F99" s="77"/>
      <c r="G99" s="77"/>
      <c r="H99" s="77"/>
      <c r="I99" s="77"/>
      <c r="J99" s="77"/>
      <c r="K99" s="77"/>
      <c r="L99" s="77"/>
      <c r="M99" s="77"/>
      <c r="N99" s="77"/>
      <c r="O99" s="77"/>
    </row>
    <row r="100" spans="1:15" ht="15.6" thickBot="1" x14ac:dyDescent="0.3">
      <c r="A100" s="77"/>
      <c r="B100" s="77"/>
      <c r="C100" s="77"/>
      <c r="D100" s="77"/>
      <c r="E100" s="77"/>
      <c r="F100" s="77"/>
      <c r="G100" s="77"/>
      <c r="H100" s="77"/>
      <c r="I100" s="77"/>
      <c r="J100" s="77"/>
      <c r="K100" s="77"/>
      <c r="L100" s="77"/>
      <c r="M100" s="77"/>
      <c r="N100" s="77"/>
      <c r="O100" s="77"/>
    </row>
    <row r="101" spans="1:15" ht="15" x14ac:dyDescent="0.25">
      <c r="A101" s="894" t="s">
        <v>195</v>
      </c>
      <c r="B101" s="895"/>
      <c r="C101" s="895"/>
      <c r="D101" s="895"/>
      <c r="E101" s="895"/>
      <c r="F101" s="896"/>
      <c r="G101" s="77"/>
      <c r="H101" s="77"/>
      <c r="I101" s="77"/>
      <c r="J101" s="77"/>
      <c r="K101" s="77"/>
      <c r="L101" s="77"/>
      <c r="M101" s="77"/>
      <c r="N101" s="77"/>
      <c r="O101" s="77"/>
    </row>
    <row r="102" spans="1:15" ht="15.6" thickBot="1" x14ac:dyDescent="0.3">
      <c r="A102" s="897"/>
      <c r="B102" s="898"/>
      <c r="C102" s="898"/>
      <c r="D102" s="898"/>
      <c r="E102" s="898"/>
      <c r="F102" s="899"/>
      <c r="G102" s="77"/>
      <c r="H102" s="77"/>
      <c r="I102" s="77"/>
      <c r="J102" s="77"/>
      <c r="K102" s="77"/>
      <c r="L102" s="77"/>
      <c r="M102" s="77"/>
      <c r="N102" s="77"/>
      <c r="O102" s="77"/>
    </row>
    <row r="103" spans="1:15" ht="15" x14ac:dyDescent="0.25">
      <c r="A103" s="162" t="s">
        <v>5</v>
      </c>
      <c r="B103" s="161" t="s">
        <v>6</v>
      </c>
      <c r="C103" s="161" t="s">
        <v>13</v>
      </c>
      <c r="D103" s="161" t="s">
        <v>82</v>
      </c>
      <c r="E103" s="161" t="s">
        <v>115</v>
      </c>
      <c r="F103" s="163" t="s">
        <v>116</v>
      </c>
      <c r="G103" s="77"/>
      <c r="H103" s="77"/>
      <c r="I103" s="77"/>
      <c r="J103" s="77"/>
      <c r="K103" s="77"/>
      <c r="L103" s="77"/>
      <c r="M103" s="77"/>
      <c r="N103" s="77"/>
      <c r="O103" s="77"/>
    </row>
    <row r="104" spans="1:15" ht="15" x14ac:dyDescent="0.25">
      <c r="A104" s="104" t="s">
        <v>239</v>
      </c>
      <c r="B104" s="106"/>
      <c r="C104" s="106"/>
      <c r="D104" s="105"/>
      <c r="E104" s="106"/>
      <c r="F104" s="107"/>
      <c r="G104" s="77"/>
      <c r="H104" s="77"/>
      <c r="I104" s="77"/>
      <c r="J104" s="77"/>
      <c r="K104" s="77"/>
      <c r="L104" s="77"/>
      <c r="M104" s="77"/>
      <c r="N104" s="77"/>
      <c r="O104" s="77"/>
    </row>
    <row r="105" spans="1:15" ht="30" x14ac:dyDescent="0.25">
      <c r="A105" s="104" t="s">
        <v>91</v>
      </c>
      <c r="B105" s="106" t="s">
        <v>190</v>
      </c>
      <c r="C105" s="106" t="s">
        <v>18</v>
      </c>
      <c r="D105" s="105" t="s">
        <v>8</v>
      </c>
      <c r="E105" s="106" t="s">
        <v>36</v>
      </c>
      <c r="F105" s="107" t="s">
        <v>29</v>
      </c>
      <c r="G105" s="77"/>
      <c r="H105" s="77"/>
      <c r="I105" s="77"/>
      <c r="J105" s="77"/>
      <c r="K105" s="77"/>
      <c r="L105" s="77"/>
      <c r="M105" s="77"/>
      <c r="N105" s="77"/>
      <c r="O105" s="77"/>
    </row>
    <row r="106" spans="1:15" ht="30" x14ac:dyDescent="0.25">
      <c r="A106" s="117" t="s">
        <v>27</v>
      </c>
      <c r="B106" s="106" t="s">
        <v>192</v>
      </c>
      <c r="C106" s="106" t="s">
        <v>15</v>
      </c>
      <c r="D106" s="105" t="s">
        <v>84</v>
      </c>
      <c r="E106" s="106" t="s">
        <v>35</v>
      </c>
      <c r="F106" s="107" t="s">
        <v>28</v>
      </c>
      <c r="G106" s="77"/>
      <c r="H106" s="77"/>
      <c r="I106" s="77"/>
      <c r="J106" s="77"/>
      <c r="K106" s="77"/>
      <c r="L106" s="77"/>
      <c r="M106" s="77"/>
      <c r="N106" s="77"/>
      <c r="O106" s="77"/>
    </row>
    <row r="107" spans="1:15" ht="30" x14ac:dyDescent="0.25">
      <c r="A107" s="117" t="s">
        <v>125</v>
      </c>
      <c r="B107" s="106" t="s">
        <v>191</v>
      </c>
      <c r="C107" s="106" t="s">
        <v>16</v>
      </c>
      <c r="D107" s="105"/>
      <c r="E107" s="106" t="s">
        <v>46</v>
      </c>
      <c r="F107" s="107" t="s">
        <v>34</v>
      </c>
      <c r="G107" s="77"/>
      <c r="H107" s="77"/>
      <c r="I107" s="77"/>
      <c r="J107" s="77"/>
      <c r="K107" s="77"/>
      <c r="L107" s="77"/>
      <c r="M107" s="77"/>
      <c r="N107" s="77"/>
      <c r="O107" s="77"/>
    </row>
    <row r="108" spans="1:15" ht="15" x14ac:dyDescent="0.25">
      <c r="A108" s="104" t="s">
        <v>128</v>
      </c>
      <c r="B108" s="106" t="s">
        <v>193</v>
      </c>
      <c r="C108" s="106" t="s">
        <v>20</v>
      </c>
      <c r="D108" s="105"/>
      <c r="E108" s="106" t="s">
        <v>142</v>
      </c>
      <c r="F108" s="107" t="s">
        <v>142</v>
      </c>
      <c r="G108" s="77"/>
      <c r="H108" s="77"/>
      <c r="I108" s="77"/>
      <c r="J108" s="77"/>
      <c r="K108" s="77"/>
      <c r="L108" s="77"/>
      <c r="M108" s="77"/>
      <c r="N108" s="77"/>
      <c r="O108" s="77"/>
    </row>
    <row r="109" spans="1:15" ht="15" x14ac:dyDescent="0.25">
      <c r="A109" s="117" t="s">
        <v>92</v>
      </c>
      <c r="B109" s="105"/>
      <c r="C109" s="106" t="s">
        <v>19</v>
      </c>
      <c r="D109" s="105"/>
      <c r="E109" s="106" t="s">
        <v>37</v>
      </c>
      <c r="F109" s="107" t="s">
        <v>30</v>
      </c>
      <c r="G109" s="77"/>
      <c r="H109" s="77"/>
      <c r="I109" s="77"/>
      <c r="J109" s="77"/>
      <c r="K109" s="77"/>
      <c r="L109" s="77"/>
      <c r="M109" s="77"/>
      <c r="N109" s="77"/>
      <c r="O109" s="77"/>
    </row>
    <row r="110" spans="1:15" ht="15" x14ac:dyDescent="0.25">
      <c r="A110" s="104" t="s">
        <v>194</v>
      </c>
      <c r="B110" s="105"/>
      <c r="C110" s="106" t="s">
        <v>21</v>
      </c>
      <c r="D110" s="105"/>
      <c r="E110" s="106" t="s">
        <v>117</v>
      </c>
      <c r="F110" s="107" t="s">
        <v>121</v>
      </c>
      <c r="G110" s="77"/>
      <c r="H110" s="77"/>
      <c r="I110" s="77"/>
      <c r="J110" s="77"/>
      <c r="K110" s="77"/>
      <c r="L110" s="77"/>
      <c r="M110" s="77"/>
      <c r="N110" s="77"/>
      <c r="O110" s="77"/>
    </row>
    <row r="111" spans="1:15" ht="30" x14ac:dyDescent="0.25">
      <c r="A111" s="104" t="s">
        <v>11</v>
      </c>
      <c r="B111" s="105"/>
      <c r="C111" s="106" t="s">
        <v>14</v>
      </c>
      <c r="D111" s="105"/>
      <c r="E111" s="106" t="s">
        <v>42</v>
      </c>
      <c r="F111" s="107" t="s">
        <v>40</v>
      </c>
      <c r="G111" s="77"/>
      <c r="H111" s="77"/>
      <c r="I111" s="77"/>
      <c r="J111" s="77"/>
      <c r="K111" s="77"/>
      <c r="L111" s="77"/>
      <c r="M111" s="77"/>
      <c r="N111" s="77"/>
      <c r="O111" s="77"/>
    </row>
    <row r="112" spans="1:15" ht="15" x14ac:dyDescent="0.25">
      <c r="A112" s="104" t="s">
        <v>1</v>
      </c>
      <c r="B112" s="105"/>
      <c r="C112" s="106" t="s">
        <v>17</v>
      </c>
      <c r="D112" s="105"/>
      <c r="E112" s="106" t="s">
        <v>38</v>
      </c>
      <c r="F112" s="107" t="s">
        <v>31</v>
      </c>
      <c r="G112" s="77"/>
      <c r="H112" s="77"/>
      <c r="I112" s="77"/>
      <c r="J112" s="77"/>
      <c r="K112" s="77"/>
      <c r="L112" s="77"/>
      <c r="M112" s="77"/>
      <c r="N112" s="77"/>
      <c r="O112" s="77"/>
    </row>
    <row r="113" spans="1:15" ht="15" x14ac:dyDescent="0.25">
      <c r="A113" s="117" t="s">
        <v>4</v>
      </c>
      <c r="B113" s="105"/>
      <c r="C113" s="106"/>
      <c r="D113" s="105"/>
      <c r="E113" s="106" t="s">
        <v>41</v>
      </c>
      <c r="F113" s="107" t="s">
        <v>39</v>
      </c>
      <c r="G113" s="77"/>
      <c r="H113" s="77"/>
      <c r="I113" s="77"/>
      <c r="J113" s="77"/>
      <c r="K113" s="77"/>
      <c r="L113" s="77"/>
      <c r="M113" s="77"/>
      <c r="N113" s="77"/>
      <c r="O113" s="77"/>
    </row>
    <row r="114" spans="1:15" ht="15" x14ac:dyDescent="0.25">
      <c r="A114" s="117" t="s">
        <v>126</v>
      </c>
      <c r="B114" s="105"/>
      <c r="C114" s="106"/>
      <c r="D114" s="105"/>
      <c r="E114" s="106" t="s">
        <v>43</v>
      </c>
      <c r="F114" s="107" t="s">
        <v>120</v>
      </c>
      <c r="G114" s="77"/>
      <c r="H114" s="77"/>
      <c r="I114" s="77"/>
      <c r="J114" s="77"/>
      <c r="K114" s="77"/>
      <c r="L114" s="77"/>
      <c r="M114" s="77"/>
      <c r="N114" s="77"/>
      <c r="O114" s="77"/>
    </row>
    <row r="115" spans="1:15" x14ac:dyDescent="0.25">
      <c r="A115" t="s">
        <v>238</v>
      </c>
      <c r="E115" t="s">
        <v>118</v>
      </c>
      <c r="F115" t="s">
        <v>122</v>
      </c>
    </row>
    <row r="116" spans="1:15" x14ac:dyDescent="0.25">
      <c r="A116" t="s">
        <v>183</v>
      </c>
      <c r="E116" t="s">
        <v>45</v>
      </c>
      <c r="F116" t="s">
        <v>32</v>
      </c>
    </row>
  </sheetData>
  <mergeCells count="7">
    <mergeCell ref="A101:F102"/>
    <mergeCell ref="A1:O1"/>
    <mergeCell ref="A3:O3"/>
    <mergeCell ref="A11:O11"/>
    <mergeCell ref="A29:O29"/>
    <mergeCell ref="A41:O41"/>
    <mergeCell ref="A42:F42"/>
  </mergeCells>
  <dataValidations count="7">
    <dataValidation type="list" allowBlank="1" showInputMessage="1" showErrorMessage="1" sqref="G5:G10 G20:G27 G31 G14:G17" xr:uid="{00000000-0002-0000-2100-000000000000}">
      <formula1>$C$104:$C$112</formula1>
    </dataValidation>
    <dataValidation type="list" allowBlank="1" showInputMessage="1" showErrorMessage="1" sqref="A5:A10 A31:A32 A14:A17 A20:A27" xr:uid="{00000000-0002-0000-2100-000001000000}">
      <formula1>$D$104:$D$106</formula1>
    </dataValidation>
    <dataValidation type="list" allowBlank="1" showInputMessage="1" showErrorMessage="1" sqref="B5:B10 B31 B14:B17 B20:B27" xr:uid="{00000000-0002-0000-2100-000002000000}">
      <formula1>$B$104:$B$108</formula1>
    </dataValidation>
    <dataValidation type="list" allowBlank="1" showInputMessage="1" showErrorMessage="1" sqref="E5:E10 E14:E17 E31 E20:E27" xr:uid="{00000000-0002-0000-2100-000003000000}">
      <formula1>$F$104:$F$118</formula1>
    </dataValidation>
    <dataValidation type="list" allowBlank="1" showInputMessage="1" showErrorMessage="1" sqref="F5:F10 F14:F17 F31 F20:F27" xr:uid="{00000000-0002-0000-2100-000004000000}">
      <formula1>$E$104:$E$118</formula1>
    </dataValidation>
    <dataValidation type="list" allowBlank="1" showInputMessage="1" showErrorMessage="1" sqref="C20:D27 C14:D17 C31:D31 C5:D10" xr:uid="{00000000-0002-0000-2100-000005000000}">
      <formula1>$A$104:$A$116</formula1>
    </dataValidation>
    <dataValidation type="list" allowBlank="1" showInputMessage="1" showErrorMessage="1" sqref="C32:D40" xr:uid="{00000000-0002-0000-2100-000006000000}">
      <formula1>#REF!</formula1>
    </dataValidation>
  </dataValidations>
  <pageMargins left="0.7" right="0.7" top="0.75" bottom="0.75" header="0.3" footer="0.3"/>
  <legacyDrawing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15">
    <tabColor rgb="FFFF0000"/>
  </sheetPr>
  <dimension ref="A1:O117"/>
  <sheetViews>
    <sheetView topLeftCell="C1" zoomScale="55" zoomScaleNormal="55" workbookViewId="0">
      <selection activeCell="DD94" sqref="DD94"/>
    </sheetView>
  </sheetViews>
  <sheetFormatPr defaultColWidth="8.77734375" defaultRowHeight="13.2" x14ac:dyDescent="0.25"/>
  <cols>
    <col min="1" max="15" width="26.44140625" customWidth="1"/>
  </cols>
  <sheetData>
    <row r="1" spans="1:15" ht="18" thickBot="1" x14ac:dyDescent="0.3">
      <c r="A1" s="900" t="s">
        <v>189</v>
      </c>
      <c r="B1" s="900"/>
      <c r="C1" s="900"/>
      <c r="D1" s="900"/>
      <c r="E1" s="900"/>
      <c r="F1" s="900"/>
      <c r="G1" s="900"/>
      <c r="H1" s="900"/>
      <c r="I1" s="900"/>
      <c r="J1" s="900"/>
      <c r="K1" s="900"/>
      <c r="L1" s="900"/>
      <c r="M1" s="900"/>
      <c r="N1" s="900"/>
      <c r="O1" s="900"/>
    </row>
    <row r="2" spans="1:15" ht="17.399999999999999" x14ac:dyDescent="0.25">
      <c r="A2" s="299" t="s">
        <v>188</v>
      </c>
      <c r="B2" s="175">
        <v>41029</v>
      </c>
      <c r="C2" s="299"/>
      <c r="D2" s="299"/>
      <c r="E2" s="299"/>
      <c r="F2" s="299"/>
      <c r="G2" s="299"/>
      <c r="H2" s="299"/>
      <c r="I2" s="299"/>
      <c r="J2" s="299"/>
      <c r="K2" s="299"/>
      <c r="L2" s="299"/>
      <c r="M2" s="299"/>
      <c r="N2" s="299"/>
      <c r="O2" s="299"/>
    </row>
    <row r="3" spans="1:15" ht="15" x14ac:dyDescent="0.25">
      <c r="A3" s="901" t="s">
        <v>204</v>
      </c>
      <c r="B3" s="902"/>
      <c r="C3" s="902"/>
      <c r="D3" s="902"/>
      <c r="E3" s="902"/>
      <c r="F3" s="902"/>
      <c r="G3" s="902"/>
      <c r="H3" s="902"/>
      <c r="I3" s="902"/>
      <c r="J3" s="902"/>
      <c r="K3" s="902"/>
      <c r="L3" s="902"/>
      <c r="M3" s="902"/>
      <c r="N3" s="902"/>
      <c r="O3" s="903"/>
    </row>
    <row r="4" spans="1:15" ht="60" x14ac:dyDescent="0.25">
      <c r="A4" s="176" t="s">
        <v>89</v>
      </c>
      <c r="B4" s="176" t="s">
        <v>90</v>
      </c>
      <c r="C4" s="177" t="s">
        <v>0</v>
      </c>
      <c r="D4" s="177" t="s">
        <v>124</v>
      </c>
      <c r="E4" s="176" t="s">
        <v>143</v>
      </c>
      <c r="F4" s="176" t="s">
        <v>144</v>
      </c>
      <c r="G4" s="176" t="s">
        <v>13</v>
      </c>
      <c r="H4" s="176" t="s">
        <v>88</v>
      </c>
      <c r="I4" s="176" t="s">
        <v>12</v>
      </c>
      <c r="J4" s="176" t="s">
        <v>158</v>
      </c>
      <c r="K4" s="176" t="s">
        <v>148</v>
      </c>
      <c r="L4" s="176" t="s">
        <v>153</v>
      </c>
      <c r="M4" s="176" t="s">
        <v>104</v>
      </c>
      <c r="N4" s="176" t="s">
        <v>154</v>
      </c>
      <c r="O4" s="176" t="s">
        <v>205</v>
      </c>
    </row>
    <row r="5" spans="1:15" ht="30" x14ac:dyDescent="0.25">
      <c r="A5" s="82" t="s">
        <v>84</v>
      </c>
      <c r="B5" s="83" t="s">
        <v>3</v>
      </c>
      <c r="C5" s="83" t="s">
        <v>1</v>
      </c>
      <c r="D5" s="83" t="s">
        <v>1</v>
      </c>
      <c r="E5" s="84" t="s">
        <v>120</v>
      </c>
      <c r="F5" s="84" t="s">
        <v>42</v>
      </c>
      <c r="G5" s="83" t="s">
        <v>14</v>
      </c>
      <c r="H5" s="85">
        <v>44423</v>
      </c>
      <c r="I5" s="83" t="s">
        <v>23</v>
      </c>
      <c r="J5" s="173">
        <v>143.66499999999999</v>
      </c>
      <c r="K5" s="296">
        <v>125.28</v>
      </c>
      <c r="L5" s="296">
        <f>N5-M5</f>
        <v>17.848443</v>
      </c>
      <c r="M5" s="296">
        <f>0.936557</f>
        <v>0.93655699999999997</v>
      </c>
      <c r="N5" s="296">
        <v>18.785</v>
      </c>
      <c r="O5" s="288"/>
    </row>
    <row r="6" spans="1:15" ht="30" x14ac:dyDescent="0.25">
      <c r="A6" s="90" t="s">
        <v>84</v>
      </c>
      <c r="B6" s="91" t="s">
        <v>3</v>
      </c>
      <c r="C6" s="91" t="s">
        <v>1</v>
      </c>
      <c r="D6" s="91" t="s">
        <v>1</v>
      </c>
      <c r="E6" s="92" t="s">
        <v>120</v>
      </c>
      <c r="F6" s="91" t="s">
        <v>42</v>
      </c>
      <c r="G6" s="91" t="s">
        <v>14</v>
      </c>
      <c r="H6" s="93">
        <v>44576</v>
      </c>
      <c r="I6" s="91" t="s">
        <v>24</v>
      </c>
      <c r="J6" s="174">
        <v>27.395</v>
      </c>
      <c r="K6" s="295">
        <v>26.9575</v>
      </c>
      <c r="L6" s="295">
        <f t="shared" ref="L6:L8" si="0">N6-M6</f>
        <v>4.7921719999999999</v>
      </c>
      <c r="M6" s="295">
        <v>7.6423000000000005E-2</v>
      </c>
      <c r="N6" s="295">
        <v>4.868595</v>
      </c>
      <c r="O6" s="289"/>
    </row>
    <row r="7" spans="1:15" ht="30" x14ac:dyDescent="0.25">
      <c r="A7" s="82" t="s">
        <v>84</v>
      </c>
      <c r="B7" s="83" t="s">
        <v>3</v>
      </c>
      <c r="C7" s="83" t="s">
        <v>194</v>
      </c>
      <c r="D7" s="83" t="s">
        <v>194</v>
      </c>
      <c r="E7" s="84" t="s">
        <v>39</v>
      </c>
      <c r="F7" s="84" t="s">
        <v>36</v>
      </c>
      <c r="G7" s="83" t="s">
        <v>14</v>
      </c>
      <c r="H7" s="85">
        <v>44576</v>
      </c>
      <c r="I7" s="83" t="s">
        <v>24</v>
      </c>
      <c r="J7" s="173">
        <v>26.85</v>
      </c>
      <c r="K7" s="296">
        <v>26.47</v>
      </c>
      <c r="L7" s="296">
        <f t="shared" si="0"/>
        <v>4.6996370000000001</v>
      </c>
      <c r="M7" s="296">
        <v>7.5048000000000004E-2</v>
      </c>
      <c r="N7" s="296">
        <v>4.7746849999999998</v>
      </c>
      <c r="O7" s="288"/>
    </row>
    <row r="8" spans="1:15" ht="30" x14ac:dyDescent="0.25">
      <c r="A8" s="90" t="s">
        <v>84</v>
      </c>
      <c r="B8" s="91" t="s">
        <v>3</v>
      </c>
      <c r="C8" s="91" t="s">
        <v>11</v>
      </c>
      <c r="D8" s="91" t="s">
        <v>125</v>
      </c>
      <c r="E8" s="92" t="s">
        <v>39</v>
      </c>
      <c r="F8" s="91" t="s">
        <v>38</v>
      </c>
      <c r="G8" s="91" t="s">
        <v>14</v>
      </c>
      <c r="H8" s="93">
        <v>46296</v>
      </c>
      <c r="I8" s="91" t="s">
        <v>25</v>
      </c>
      <c r="J8" s="174">
        <v>40.875</v>
      </c>
      <c r="K8" s="174">
        <v>39.75</v>
      </c>
      <c r="L8" s="174">
        <f t="shared" si="0"/>
        <v>6.7337059999999997</v>
      </c>
      <c r="M8" s="174">
        <v>0.10056900000000001</v>
      </c>
      <c r="N8" s="174">
        <v>6.8342749999999999</v>
      </c>
      <c r="O8" s="289"/>
    </row>
    <row r="9" spans="1:15" ht="15" x14ac:dyDescent="0.25">
      <c r="A9" s="98"/>
      <c r="B9" s="111"/>
      <c r="C9" s="111"/>
      <c r="D9" s="111"/>
      <c r="E9" s="123"/>
      <c r="F9" s="111"/>
      <c r="G9" s="111"/>
      <c r="H9" s="114"/>
      <c r="I9" s="111"/>
      <c r="J9" s="189"/>
      <c r="K9" s="189"/>
      <c r="L9" s="189"/>
      <c r="M9" s="189" t="s">
        <v>75</v>
      </c>
      <c r="N9" s="190"/>
      <c r="O9" s="190"/>
    </row>
    <row r="10" spans="1:15" ht="15" x14ac:dyDescent="0.25">
      <c r="A10" s="90"/>
      <c r="B10" s="91"/>
      <c r="C10" s="91"/>
      <c r="D10" s="91"/>
      <c r="E10" s="92"/>
      <c r="F10" s="91"/>
      <c r="G10" s="91"/>
      <c r="H10" s="93"/>
      <c r="I10" s="91"/>
      <c r="J10" s="174"/>
      <c r="K10" s="174"/>
      <c r="L10" s="174"/>
      <c r="M10" s="174"/>
      <c r="N10" s="289"/>
      <c r="O10" s="289"/>
    </row>
    <row r="11" spans="1:15" ht="15" x14ac:dyDescent="0.25">
      <c r="A11" s="901" t="s">
        <v>203</v>
      </c>
      <c r="B11" s="902"/>
      <c r="C11" s="902"/>
      <c r="D11" s="902"/>
      <c r="E11" s="902"/>
      <c r="F11" s="902"/>
      <c r="G11" s="902"/>
      <c r="H11" s="902"/>
      <c r="I11" s="902"/>
      <c r="J11" s="902"/>
      <c r="K11" s="902"/>
      <c r="L11" s="902"/>
      <c r="M11" s="902"/>
      <c r="N11" s="902"/>
      <c r="O11" s="903"/>
    </row>
    <row r="12" spans="1:15" ht="60" x14ac:dyDescent="0.25">
      <c r="A12" s="176" t="s">
        <v>89</v>
      </c>
      <c r="B12" s="176" t="s">
        <v>90</v>
      </c>
      <c r="C12" s="177" t="s">
        <v>0</v>
      </c>
      <c r="D12" s="180" t="s">
        <v>124</v>
      </c>
      <c r="E12" s="176" t="s">
        <v>143</v>
      </c>
      <c r="F12" s="176" t="s">
        <v>144</v>
      </c>
      <c r="G12" s="176" t="s">
        <v>13</v>
      </c>
      <c r="H12" s="176" t="s">
        <v>88</v>
      </c>
      <c r="I12" s="176" t="s">
        <v>12</v>
      </c>
      <c r="J12" s="176" t="s">
        <v>150</v>
      </c>
      <c r="K12" s="176" t="s">
        <v>151</v>
      </c>
      <c r="L12" s="176" t="s">
        <v>157</v>
      </c>
      <c r="M12" s="176" t="s">
        <v>149</v>
      </c>
      <c r="N12" s="176" t="s">
        <v>154</v>
      </c>
      <c r="O12" s="176" t="s">
        <v>205</v>
      </c>
    </row>
    <row r="13" spans="1:15" ht="15" x14ac:dyDescent="0.25">
      <c r="A13" s="184" t="s">
        <v>197</v>
      </c>
      <c r="B13" s="184"/>
      <c r="C13" s="185"/>
      <c r="D13" s="185"/>
      <c r="E13" s="184"/>
      <c r="F13" s="184"/>
      <c r="G13" s="184"/>
      <c r="H13" s="184"/>
      <c r="I13" s="184"/>
      <c r="J13" s="184"/>
      <c r="K13" s="184"/>
      <c r="L13" s="184"/>
      <c r="M13" s="184"/>
      <c r="N13" s="184"/>
      <c r="O13" s="186"/>
    </row>
    <row r="14" spans="1:15" ht="30" x14ac:dyDescent="0.25">
      <c r="A14" s="90" t="s">
        <v>84</v>
      </c>
      <c r="B14" s="91" t="s">
        <v>7</v>
      </c>
      <c r="C14" s="91" t="s">
        <v>239</v>
      </c>
      <c r="D14" s="91" t="s">
        <v>238</v>
      </c>
      <c r="E14" s="92" t="s">
        <v>32</v>
      </c>
      <c r="F14" s="91" t="s">
        <v>44</v>
      </c>
      <c r="G14" s="91" t="s">
        <v>22</v>
      </c>
      <c r="H14" s="93">
        <v>41090</v>
      </c>
      <c r="I14" s="91" t="s">
        <v>176</v>
      </c>
      <c r="J14" s="289">
        <v>33.99</v>
      </c>
      <c r="K14" s="289">
        <v>-30.74</v>
      </c>
      <c r="L14" s="289">
        <f t="shared" ref="L14:L17" si="1">+J14+K14</f>
        <v>3.2500000000000036</v>
      </c>
      <c r="M14" s="289"/>
      <c r="N14" s="289"/>
      <c r="O14" s="289"/>
    </row>
    <row r="15" spans="1:15" ht="30" x14ac:dyDescent="0.25">
      <c r="A15" s="82" t="s">
        <v>8</v>
      </c>
      <c r="B15" s="83" t="s">
        <v>7</v>
      </c>
      <c r="C15" s="83" t="s">
        <v>239</v>
      </c>
      <c r="D15" s="83" t="s">
        <v>238</v>
      </c>
      <c r="E15" s="84" t="s">
        <v>32</v>
      </c>
      <c r="F15" s="84" t="s">
        <v>44</v>
      </c>
      <c r="G15" s="83" t="s">
        <v>22</v>
      </c>
      <c r="H15" s="85">
        <v>41455</v>
      </c>
      <c r="I15" s="83" t="s">
        <v>131</v>
      </c>
      <c r="J15" s="288">
        <v>26.13</v>
      </c>
      <c r="K15" s="288">
        <v>0</v>
      </c>
      <c r="L15" s="288">
        <f t="shared" si="1"/>
        <v>26.13</v>
      </c>
      <c r="M15" s="288"/>
      <c r="N15" s="288"/>
      <c r="O15" s="288"/>
    </row>
    <row r="16" spans="1:15" ht="30" x14ac:dyDescent="0.25">
      <c r="A16" s="90" t="s">
        <v>8</v>
      </c>
      <c r="B16" s="91" t="s">
        <v>193</v>
      </c>
      <c r="C16" s="91" t="s">
        <v>239</v>
      </c>
      <c r="D16" s="91" t="s">
        <v>238</v>
      </c>
      <c r="E16" s="92" t="s">
        <v>32</v>
      </c>
      <c r="F16" s="91" t="s">
        <v>142</v>
      </c>
      <c r="G16" s="91" t="s">
        <v>22</v>
      </c>
      <c r="H16" s="93">
        <v>41820</v>
      </c>
      <c r="I16" s="91" t="s">
        <v>132</v>
      </c>
      <c r="J16" s="289">
        <v>15.87</v>
      </c>
      <c r="K16" s="289">
        <v>0</v>
      </c>
      <c r="L16" s="289">
        <f t="shared" si="1"/>
        <v>15.87</v>
      </c>
      <c r="M16" s="289"/>
      <c r="N16" s="289"/>
      <c r="O16" s="289"/>
    </row>
    <row r="17" spans="1:15" ht="30" x14ac:dyDescent="0.25">
      <c r="A17" s="82" t="s">
        <v>8</v>
      </c>
      <c r="B17" s="83" t="s">
        <v>193</v>
      </c>
      <c r="C17" s="83" t="s">
        <v>239</v>
      </c>
      <c r="D17" s="83" t="s">
        <v>238</v>
      </c>
      <c r="E17" s="84" t="s">
        <v>32</v>
      </c>
      <c r="F17" s="84" t="s">
        <v>142</v>
      </c>
      <c r="G17" s="91" t="s">
        <v>22</v>
      </c>
      <c r="H17" s="85">
        <v>42185</v>
      </c>
      <c r="I17" s="83" t="s">
        <v>133</v>
      </c>
      <c r="J17" s="191">
        <v>8.33</v>
      </c>
      <c r="K17" s="191">
        <v>0</v>
      </c>
      <c r="L17" s="191">
        <f t="shared" si="1"/>
        <v>8.33</v>
      </c>
      <c r="M17" s="288"/>
      <c r="N17" s="288"/>
      <c r="O17" s="288"/>
    </row>
    <row r="18" spans="1:15" ht="15" x14ac:dyDescent="0.25">
      <c r="A18" s="181"/>
      <c r="B18" s="181"/>
      <c r="C18" s="181"/>
      <c r="D18" s="181"/>
      <c r="E18" s="182"/>
      <c r="F18" s="181"/>
      <c r="G18" s="181"/>
      <c r="H18" s="183" t="s">
        <v>206</v>
      </c>
      <c r="I18" s="181"/>
      <c r="J18" s="290">
        <f>SUM(J14:J17)</f>
        <v>84.320000000000007</v>
      </c>
      <c r="K18" s="290">
        <f>SUM(K14:K17)</f>
        <v>-30.74</v>
      </c>
      <c r="L18" s="290">
        <f>SUM(L14:L17)</f>
        <v>53.58</v>
      </c>
      <c r="M18" s="290">
        <f>+L18-N18</f>
        <v>35.450000000000003</v>
      </c>
      <c r="N18" s="290">
        <v>18.13</v>
      </c>
      <c r="O18" s="290">
        <v>35</v>
      </c>
    </row>
    <row r="19" spans="1:15" ht="15" x14ac:dyDescent="0.25">
      <c r="A19" s="184" t="s">
        <v>198</v>
      </c>
      <c r="B19" s="184"/>
      <c r="C19" s="185"/>
      <c r="D19" s="185"/>
      <c r="E19" s="184"/>
      <c r="F19" s="184"/>
      <c r="G19" s="184"/>
      <c r="H19" s="184"/>
      <c r="I19" s="184"/>
      <c r="J19" s="184"/>
      <c r="K19" s="184"/>
      <c r="L19" s="184"/>
      <c r="M19" s="184"/>
      <c r="N19" s="184"/>
      <c r="O19" s="186"/>
    </row>
    <row r="20" spans="1:15" ht="30" x14ac:dyDescent="0.25">
      <c r="A20" s="82" t="s">
        <v>8</v>
      </c>
      <c r="B20" s="83" t="s">
        <v>7</v>
      </c>
      <c r="C20" s="83" t="s">
        <v>27</v>
      </c>
      <c r="D20" s="83" t="s">
        <v>127</v>
      </c>
      <c r="E20" s="84" t="s">
        <v>33</v>
      </c>
      <c r="F20" s="84" t="s">
        <v>45</v>
      </c>
      <c r="G20" s="83" t="s">
        <v>22</v>
      </c>
      <c r="H20" s="85">
        <v>41090</v>
      </c>
      <c r="I20" s="83" t="s">
        <v>135</v>
      </c>
      <c r="J20" s="288">
        <v>6.57</v>
      </c>
      <c r="K20" s="288">
        <v>-4.78</v>
      </c>
      <c r="L20" s="288">
        <f t="shared" ref="L20:L27" si="2">+J20+K20</f>
        <v>1.79</v>
      </c>
      <c r="M20" s="288"/>
      <c r="N20" s="288"/>
      <c r="O20" s="288"/>
    </row>
    <row r="21" spans="1:15" ht="30" x14ac:dyDescent="0.25">
      <c r="A21" s="90" t="s">
        <v>8</v>
      </c>
      <c r="B21" s="91" t="s">
        <v>7</v>
      </c>
      <c r="C21" s="91" t="s">
        <v>92</v>
      </c>
      <c r="D21" s="91" t="s">
        <v>128</v>
      </c>
      <c r="E21" s="92" t="s">
        <v>33</v>
      </c>
      <c r="F21" s="91" t="s">
        <v>45</v>
      </c>
      <c r="G21" s="91" t="s">
        <v>22</v>
      </c>
      <c r="H21" s="93">
        <v>41090</v>
      </c>
      <c r="I21" s="91" t="s">
        <v>136</v>
      </c>
      <c r="J21" s="289">
        <v>0.25</v>
      </c>
      <c r="K21" s="289">
        <v>-0.25</v>
      </c>
      <c r="L21" s="289">
        <f t="shared" si="2"/>
        <v>0</v>
      </c>
      <c r="M21" s="289"/>
      <c r="N21" s="289"/>
      <c r="O21" s="289"/>
    </row>
    <row r="22" spans="1:15" ht="30" x14ac:dyDescent="0.25">
      <c r="A22" s="82" t="s">
        <v>8</v>
      </c>
      <c r="B22" s="83" t="s">
        <v>7</v>
      </c>
      <c r="C22" s="83" t="s">
        <v>27</v>
      </c>
      <c r="D22" s="83" t="s">
        <v>127</v>
      </c>
      <c r="E22" s="84" t="s">
        <v>33</v>
      </c>
      <c r="F22" s="84" t="s">
        <v>45</v>
      </c>
      <c r="G22" s="83" t="s">
        <v>22</v>
      </c>
      <c r="H22" s="85">
        <v>41455</v>
      </c>
      <c r="I22" s="83" t="s">
        <v>137</v>
      </c>
      <c r="J22" s="288">
        <v>5.25</v>
      </c>
      <c r="K22" s="288">
        <v>0</v>
      </c>
      <c r="L22" s="288">
        <f t="shared" si="2"/>
        <v>5.25</v>
      </c>
      <c r="M22" s="288"/>
      <c r="N22" s="288"/>
      <c r="O22" s="288"/>
    </row>
    <row r="23" spans="1:15" ht="30" x14ac:dyDescent="0.25">
      <c r="A23" s="90" t="s">
        <v>84</v>
      </c>
      <c r="B23" s="91" t="s">
        <v>7</v>
      </c>
      <c r="C23" s="91" t="s">
        <v>92</v>
      </c>
      <c r="D23" s="91" t="s">
        <v>128</v>
      </c>
      <c r="E23" s="92" t="s">
        <v>33</v>
      </c>
      <c r="F23" s="91" t="s">
        <v>45</v>
      </c>
      <c r="G23" s="91" t="s">
        <v>22</v>
      </c>
      <c r="H23" s="93">
        <v>41455</v>
      </c>
      <c r="I23" s="91" t="s">
        <v>137</v>
      </c>
      <c r="J23" s="289">
        <v>0.03</v>
      </c>
      <c r="K23" s="289">
        <v>0</v>
      </c>
      <c r="L23" s="289">
        <f t="shared" si="2"/>
        <v>0.03</v>
      </c>
      <c r="M23" s="289"/>
      <c r="N23" s="289"/>
      <c r="O23" s="289"/>
    </row>
    <row r="24" spans="1:15" ht="30" x14ac:dyDescent="0.25">
      <c r="A24" s="82" t="s">
        <v>84</v>
      </c>
      <c r="B24" s="83" t="s">
        <v>7</v>
      </c>
      <c r="C24" s="83" t="s">
        <v>27</v>
      </c>
      <c r="D24" s="83" t="s">
        <v>127</v>
      </c>
      <c r="E24" s="84" t="s">
        <v>33</v>
      </c>
      <c r="F24" s="84" t="s">
        <v>45</v>
      </c>
      <c r="G24" s="83" t="s">
        <v>22</v>
      </c>
      <c r="H24" s="85">
        <v>41820</v>
      </c>
      <c r="I24" s="83" t="s">
        <v>138</v>
      </c>
      <c r="J24" s="288">
        <v>0.92</v>
      </c>
      <c r="K24" s="288">
        <v>0</v>
      </c>
      <c r="L24" s="288">
        <f t="shared" si="2"/>
        <v>0.92</v>
      </c>
      <c r="M24" s="288"/>
      <c r="N24" s="288"/>
      <c r="O24" s="288"/>
    </row>
    <row r="25" spans="1:15" ht="30" x14ac:dyDescent="0.25">
      <c r="A25" s="90" t="s">
        <v>8</v>
      </c>
      <c r="B25" s="91" t="s">
        <v>7</v>
      </c>
      <c r="C25" s="91" t="s">
        <v>92</v>
      </c>
      <c r="D25" s="91" t="s">
        <v>128</v>
      </c>
      <c r="E25" s="92" t="s">
        <v>33</v>
      </c>
      <c r="F25" s="91" t="s">
        <v>45</v>
      </c>
      <c r="G25" s="91" t="s">
        <v>22</v>
      </c>
      <c r="H25" s="93">
        <v>41820</v>
      </c>
      <c r="I25" s="91" t="s">
        <v>138</v>
      </c>
      <c r="J25" s="289">
        <v>0.21</v>
      </c>
      <c r="K25" s="289">
        <v>0</v>
      </c>
      <c r="L25" s="289">
        <f t="shared" si="2"/>
        <v>0.21</v>
      </c>
      <c r="M25" s="289"/>
      <c r="N25" s="289"/>
      <c r="O25" s="289"/>
    </row>
    <row r="26" spans="1:15" ht="30" x14ac:dyDescent="0.25">
      <c r="A26" s="82" t="s">
        <v>8</v>
      </c>
      <c r="B26" s="83" t="s">
        <v>7</v>
      </c>
      <c r="C26" s="83"/>
      <c r="D26" s="83"/>
      <c r="E26" s="84"/>
      <c r="F26" s="84"/>
      <c r="G26" s="83"/>
      <c r="H26" s="85"/>
      <c r="I26" s="83" t="s">
        <v>139</v>
      </c>
      <c r="J26" s="288">
        <v>0</v>
      </c>
      <c r="K26" s="288">
        <v>0</v>
      </c>
      <c r="L26" s="288">
        <f t="shared" si="2"/>
        <v>0</v>
      </c>
      <c r="M26" s="288"/>
      <c r="N26" s="288"/>
      <c r="O26" s="288"/>
    </row>
    <row r="27" spans="1:15" ht="30" x14ac:dyDescent="0.25">
      <c r="A27" s="90" t="s">
        <v>8</v>
      </c>
      <c r="B27" s="91" t="s">
        <v>7</v>
      </c>
      <c r="C27" s="91"/>
      <c r="D27" s="91"/>
      <c r="E27" s="92"/>
      <c r="F27" s="91"/>
      <c r="G27" s="91"/>
      <c r="H27" s="93"/>
      <c r="I27" s="91" t="s">
        <v>139</v>
      </c>
      <c r="J27" s="291">
        <v>0</v>
      </c>
      <c r="K27" s="291">
        <v>0</v>
      </c>
      <c r="L27" s="291">
        <f t="shared" si="2"/>
        <v>0</v>
      </c>
      <c r="M27" s="291"/>
      <c r="N27" s="291"/>
      <c r="O27" s="291"/>
    </row>
    <row r="28" spans="1:15" ht="15" x14ac:dyDescent="0.25">
      <c r="A28" s="181"/>
      <c r="B28" s="181"/>
      <c r="C28" s="181"/>
      <c r="D28" s="181"/>
      <c r="E28" s="182"/>
      <c r="F28" s="181"/>
      <c r="G28" s="181"/>
      <c r="H28" s="183" t="s">
        <v>206</v>
      </c>
      <c r="I28" s="181"/>
      <c r="J28" s="290">
        <f>SUM(J20:J27)</f>
        <v>13.23</v>
      </c>
      <c r="K28" s="290">
        <f>SUM(K20:K27)</f>
        <v>-5.03</v>
      </c>
      <c r="L28" s="290">
        <f>SUM(L20:L27)</f>
        <v>8.2000000000000011</v>
      </c>
      <c r="M28" s="290">
        <f>+L28-N28</f>
        <v>7.0000000000000009</v>
      </c>
      <c r="N28" s="290">
        <v>1.2</v>
      </c>
      <c r="O28" s="290"/>
    </row>
    <row r="29" spans="1:15" ht="15" x14ac:dyDescent="0.25">
      <c r="A29" s="901" t="s">
        <v>202</v>
      </c>
      <c r="B29" s="902"/>
      <c r="C29" s="902"/>
      <c r="D29" s="902"/>
      <c r="E29" s="902"/>
      <c r="F29" s="902"/>
      <c r="G29" s="902"/>
      <c r="H29" s="902"/>
      <c r="I29" s="902"/>
      <c r="J29" s="902"/>
      <c r="K29" s="902"/>
      <c r="L29" s="902"/>
      <c r="M29" s="902"/>
      <c r="N29" s="902"/>
      <c r="O29" s="903"/>
    </row>
    <row r="30" spans="1:15" ht="60" x14ac:dyDescent="0.25">
      <c r="A30" s="176" t="s">
        <v>89</v>
      </c>
      <c r="B30" s="176" t="s">
        <v>90</v>
      </c>
      <c r="C30" s="177" t="s">
        <v>0</v>
      </c>
      <c r="D30" s="177" t="s">
        <v>124</v>
      </c>
      <c r="E30" s="176" t="s">
        <v>143</v>
      </c>
      <c r="F30" s="176" t="s">
        <v>144</v>
      </c>
      <c r="G30" s="176" t="s">
        <v>13</v>
      </c>
      <c r="H30" s="176" t="s">
        <v>88</v>
      </c>
      <c r="I30" s="176" t="s">
        <v>12</v>
      </c>
      <c r="J30" s="176" t="s">
        <v>200</v>
      </c>
      <c r="K30" s="176" t="s">
        <v>199</v>
      </c>
      <c r="L30" s="176" t="s">
        <v>201</v>
      </c>
      <c r="M30" s="176" t="s">
        <v>149</v>
      </c>
      <c r="N30" s="176" t="s">
        <v>154</v>
      </c>
      <c r="O30" s="176" t="s">
        <v>205</v>
      </c>
    </row>
    <row r="31" spans="1:15" ht="30" x14ac:dyDescent="0.25">
      <c r="A31" s="90" t="s">
        <v>84</v>
      </c>
      <c r="B31" s="91" t="s">
        <v>9</v>
      </c>
      <c r="C31" s="91" t="s">
        <v>183</v>
      </c>
      <c r="D31" s="91" t="s">
        <v>142</v>
      </c>
      <c r="E31" s="92" t="s">
        <v>142</v>
      </c>
      <c r="F31" s="91" t="s">
        <v>142</v>
      </c>
      <c r="G31" s="91" t="s">
        <v>22</v>
      </c>
      <c r="H31" s="93">
        <v>41449</v>
      </c>
      <c r="I31" s="91" t="s">
        <v>172</v>
      </c>
      <c r="J31" s="292">
        <v>7.0349999999999996E-2</v>
      </c>
      <c r="K31" s="292">
        <v>0</v>
      </c>
      <c r="L31" s="292">
        <v>7.0349999999999996E-2</v>
      </c>
      <c r="M31" s="292">
        <v>6.6000000000000003E-2</v>
      </c>
      <c r="N31" s="292">
        <f>IF(M31-L31&lt;0,0,M31-L31)</f>
        <v>0</v>
      </c>
      <c r="O31" s="292"/>
    </row>
    <row r="32" spans="1:15" ht="15" x14ac:dyDescent="0.25">
      <c r="A32" s="98"/>
      <c r="B32" s="77"/>
      <c r="C32" s="77"/>
      <c r="D32" s="77"/>
      <c r="E32" s="77"/>
      <c r="F32" s="77"/>
      <c r="G32" s="77"/>
      <c r="H32" s="77"/>
      <c r="I32" s="77"/>
      <c r="J32" s="144"/>
      <c r="K32" s="144"/>
      <c r="L32" s="144"/>
      <c r="M32" s="144"/>
      <c r="N32" s="144"/>
      <c r="O32" s="144"/>
    </row>
    <row r="33" spans="1:15" ht="15" x14ac:dyDescent="0.25">
      <c r="A33" s="77"/>
      <c r="B33" s="77"/>
      <c r="C33" s="77"/>
      <c r="D33" s="77"/>
      <c r="E33" s="77"/>
      <c r="F33" s="77"/>
      <c r="G33" s="77"/>
      <c r="H33" s="77"/>
      <c r="I33" s="77"/>
      <c r="J33" s="77"/>
      <c r="K33" s="77"/>
      <c r="L33" s="77"/>
      <c r="M33" s="77"/>
      <c r="N33" s="77"/>
      <c r="O33" s="77"/>
    </row>
    <row r="34" spans="1:15" ht="15" x14ac:dyDescent="0.25">
      <c r="A34" s="77"/>
      <c r="B34" s="77"/>
      <c r="C34" s="77"/>
      <c r="D34" s="77"/>
      <c r="E34" s="77"/>
      <c r="F34" s="77"/>
      <c r="G34" s="77"/>
      <c r="H34" s="77"/>
      <c r="I34" s="77"/>
      <c r="J34" s="77"/>
      <c r="K34" s="77"/>
      <c r="L34" s="77"/>
      <c r="M34" s="77"/>
      <c r="N34" s="77"/>
      <c r="O34" s="77"/>
    </row>
    <row r="35" spans="1:15" ht="15" x14ac:dyDescent="0.25">
      <c r="A35" s="77"/>
      <c r="B35" s="77"/>
      <c r="C35" s="77"/>
      <c r="D35" s="77"/>
      <c r="E35" s="77"/>
      <c r="F35" s="77"/>
      <c r="G35" s="77"/>
      <c r="H35" s="77"/>
      <c r="I35" s="77"/>
      <c r="J35" s="77"/>
      <c r="K35" s="77"/>
      <c r="L35" s="77"/>
      <c r="M35" s="77"/>
      <c r="N35" s="77"/>
      <c r="O35" s="77"/>
    </row>
    <row r="36" spans="1:15" ht="15" x14ac:dyDescent="0.25">
      <c r="A36" s="77"/>
      <c r="B36" s="77"/>
      <c r="C36" s="77"/>
      <c r="D36" s="77"/>
      <c r="E36" s="77"/>
      <c r="F36" s="77"/>
      <c r="G36" s="77"/>
      <c r="H36" s="77"/>
      <c r="I36" s="77"/>
      <c r="J36" s="77"/>
      <c r="K36" s="77"/>
      <c r="L36" s="77"/>
      <c r="M36" s="77"/>
      <c r="N36" s="77"/>
      <c r="O36" s="77"/>
    </row>
    <row r="37" spans="1:15" ht="15" x14ac:dyDescent="0.25">
      <c r="A37" s="77"/>
      <c r="B37" s="77"/>
      <c r="C37" s="77"/>
      <c r="D37" s="77"/>
      <c r="E37" s="77"/>
      <c r="F37" s="77"/>
      <c r="G37" s="77"/>
      <c r="H37" s="77"/>
      <c r="I37" s="77"/>
      <c r="J37" s="77"/>
      <c r="K37" s="77"/>
      <c r="L37" s="77"/>
      <c r="M37" s="77"/>
      <c r="N37" s="77"/>
      <c r="O37" s="77"/>
    </row>
    <row r="38" spans="1:15" ht="15" x14ac:dyDescent="0.25">
      <c r="A38" s="77"/>
      <c r="B38" s="77"/>
      <c r="C38" s="77"/>
      <c r="D38" s="77"/>
      <c r="E38" s="77"/>
      <c r="F38" s="77"/>
      <c r="G38" s="77"/>
      <c r="H38" s="77"/>
      <c r="I38" s="77"/>
      <c r="J38" s="77"/>
      <c r="K38" s="77"/>
      <c r="L38" s="77"/>
      <c r="M38" s="77"/>
      <c r="N38" s="77"/>
      <c r="O38" s="77"/>
    </row>
    <row r="39" spans="1:15" ht="15" x14ac:dyDescent="0.25">
      <c r="A39" s="77"/>
      <c r="B39" s="77"/>
      <c r="C39" s="77"/>
      <c r="D39" s="77"/>
      <c r="E39" s="77"/>
      <c r="F39" s="77"/>
      <c r="G39" s="77"/>
      <c r="H39" s="77"/>
      <c r="I39" s="77"/>
      <c r="J39" s="77"/>
      <c r="K39" s="77"/>
      <c r="L39" s="77"/>
      <c r="M39" s="77"/>
      <c r="N39" s="77"/>
      <c r="O39" s="77"/>
    </row>
    <row r="40" spans="1:15" ht="15" x14ac:dyDescent="0.25">
      <c r="A40" s="77"/>
      <c r="B40" s="77"/>
      <c r="C40" s="77"/>
      <c r="D40" s="77"/>
      <c r="E40" s="77"/>
      <c r="F40" s="77"/>
      <c r="G40" s="77"/>
      <c r="H40" s="77"/>
      <c r="I40" s="77"/>
      <c r="J40" s="77"/>
      <c r="K40" s="77"/>
      <c r="L40" s="77"/>
      <c r="M40" s="77"/>
      <c r="N40" s="77"/>
      <c r="O40" s="77"/>
    </row>
    <row r="41" spans="1:15" ht="15.6" thickBot="1" x14ac:dyDescent="0.3">
      <c r="A41" s="904"/>
      <c r="B41" s="904"/>
      <c r="C41" s="904"/>
      <c r="D41" s="904"/>
      <c r="E41" s="904"/>
      <c r="F41" s="904"/>
      <c r="G41" s="904"/>
      <c r="H41" s="904"/>
      <c r="I41" s="904"/>
      <c r="J41" s="904"/>
      <c r="K41" s="904"/>
      <c r="L41" s="904"/>
      <c r="M41" s="904"/>
      <c r="N41" s="904"/>
      <c r="O41" s="904"/>
    </row>
    <row r="42" spans="1:15" ht="15.6" x14ac:dyDescent="0.3">
      <c r="A42" s="905"/>
      <c r="B42" s="905"/>
      <c r="C42" s="905"/>
      <c r="D42" s="905"/>
      <c r="E42" s="905"/>
      <c r="F42" s="905"/>
      <c r="G42" s="77"/>
      <c r="H42" s="77"/>
      <c r="I42" s="77"/>
      <c r="J42" s="77"/>
      <c r="K42" s="77"/>
      <c r="L42" s="77"/>
      <c r="M42" s="77"/>
      <c r="N42" s="77"/>
      <c r="O42" s="77"/>
    </row>
    <row r="43" spans="1:15" ht="15.6" x14ac:dyDescent="0.3">
      <c r="A43" s="202"/>
      <c r="B43" s="203"/>
      <c r="C43" s="203"/>
      <c r="D43" s="202"/>
      <c r="E43" s="202"/>
      <c r="F43" s="202"/>
      <c r="G43" s="77"/>
      <c r="H43" s="203"/>
      <c r="I43" s="77"/>
      <c r="J43" s="77"/>
      <c r="K43" s="77"/>
      <c r="L43" s="77"/>
      <c r="M43" s="77"/>
      <c r="N43" s="77"/>
      <c r="O43" s="77"/>
    </row>
    <row r="44" spans="1:15" ht="15" x14ac:dyDescent="0.25">
      <c r="A44" s="168"/>
      <c r="B44" s="168"/>
      <c r="C44" s="168"/>
      <c r="D44" s="168"/>
      <c r="E44" s="168"/>
      <c r="F44" s="168"/>
      <c r="G44" s="77"/>
      <c r="H44" s="77"/>
      <c r="I44" s="77"/>
      <c r="J44" s="77"/>
      <c r="K44" s="77"/>
      <c r="L44" s="77"/>
      <c r="M44" s="77"/>
      <c r="N44" s="77"/>
      <c r="O44" s="77"/>
    </row>
    <row r="45" spans="1:15" ht="15" x14ac:dyDescent="0.25">
      <c r="A45" s="211"/>
      <c r="B45" s="204"/>
      <c r="C45" s="204"/>
      <c r="D45" s="204"/>
      <c r="E45" s="204"/>
      <c r="F45" s="205"/>
      <c r="G45" s="77"/>
      <c r="H45" s="144"/>
      <c r="I45" s="77"/>
      <c r="J45" s="77"/>
      <c r="K45" s="77"/>
      <c r="L45" s="77"/>
      <c r="M45" s="77"/>
      <c r="N45" s="77"/>
      <c r="O45" s="77"/>
    </row>
    <row r="46" spans="1:15" ht="15" x14ac:dyDescent="0.25">
      <c r="A46" s="211"/>
      <c r="B46" s="204"/>
      <c r="C46" s="204"/>
      <c r="D46" s="204"/>
      <c r="E46" s="204"/>
      <c r="F46" s="205"/>
      <c r="G46" s="77"/>
      <c r="H46" s="77"/>
      <c r="I46" s="77"/>
      <c r="J46" s="77"/>
      <c r="K46" s="77"/>
      <c r="L46" s="77"/>
      <c r="M46" s="77"/>
      <c r="N46" s="77"/>
      <c r="O46" s="77"/>
    </row>
    <row r="47" spans="1:15" ht="15" x14ac:dyDescent="0.25">
      <c r="A47" s="168"/>
      <c r="B47" s="204"/>
      <c r="C47" s="204"/>
      <c r="D47" s="204"/>
      <c r="E47" s="204"/>
      <c r="F47" s="205"/>
      <c r="G47" s="77"/>
      <c r="H47" s="144"/>
      <c r="I47" s="77"/>
      <c r="J47" s="77"/>
      <c r="K47" s="77"/>
      <c r="L47" s="77"/>
      <c r="M47" s="77"/>
      <c r="N47" s="77"/>
      <c r="O47" s="77"/>
    </row>
    <row r="48" spans="1:15" ht="15" x14ac:dyDescent="0.25">
      <c r="A48" s="211"/>
      <c r="B48" s="204"/>
      <c r="C48" s="204"/>
      <c r="D48" s="204"/>
      <c r="E48" s="204"/>
      <c r="F48" s="205"/>
      <c r="G48" s="77"/>
      <c r="H48" s="144"/>
      <c r="I48" s="77"/>
      <c r="J48" s="77"/>
      <c r="K48" s="77"/>
      <c r="L48" s="77"/>
      <c r="M48" s="77"/>
      <c r="N48" s="77"/>
      <c r="O48" s="77"/>
    </row>
    <row r="49" spans="1:15" ht="15" x14ac:dyDescent="0.25">
      <c r="A49" s="168"/>
      <c r="B49" s="204"/>
      <c r="C49" s="204"/>
      <c r="D49" s="204"/>
      <c r="E49" s="204"/>
      <c r="F49" s="205"/>
      <c r="G49" s="77"/>
      <c r="H49" s="144"/>
      <c r="I49" s="77"/>
      <c r="J49" s="77"/>
      <c r="K49" s="77"/>
      <c r="L49" s="77"/>
      <c r="M49" s="77"/>
      <c r="N49" s="77"/>
      <c r="O49" s="77"/>
    </row>
    <row r="50" spans="1:15" ht="15" x14ac:dyDescent="0.25">
      <c r="A50" s="168"/>
      <c r="B50" s="204"/>
      <c r="C50" s="204"/>
      <c r="D50" s="204"/>
      <c r="E50" s="204"/>
      <c r="F50" s="205"/>
      <c r="G50" s="77"/>
      <c r="H50" s="144"/>
      <c r="I50" s="77"/>
      <c r="J50" s="77"/>
      <c r="K50" s="77"/>
      <c r="L50" s="77"/>
      <c r="M50" s="77"/>
      <c r="N50" s="77"/>
      <c r="O50" s="77"/>
    </row>
    <row r="51" spans="1:15" ht="16.8" x14ac:dyDescent="0.4">
      <c r="A51" s="168"/>
      <c r="B51" s="206"/>
      <c r="C51" s="206"/>
      <c r="D51" s="206"/>
      <c r="E51" s="206"/>
      <c r="F51" s="207"/>
      <c r="G51" s="77"/>
      <c r="H51" s="212"/>
      <c r="I51" s="77"/>
      <c r="J51" s="77"/>
      <c r="K51" s="77"/>
      <c r="L51" s="77"/>
      <c r="M51" s="77"/>
      <c r="N51" s="77"/>
      <c r="O51" s="77"/>
    </row>
    <row r="52" spans="1:15" ht="16.8" x14ac:dyDescent="0.4">
      <c r="A52" s="168"/>
      <c r="B52" s="209"/>
      <c r="C52" s="209"/>
      <c r="D52" s="209"/>
      <c r="E52" s="209"/>
      <c r="F52" s="210"/>
      <c r="G52" s="77"/>
      <c r="H52" s="208"/>
      <c r="I52" s="77"/>
      <c r="J52" s="77"/>
      <c r="K52" s="77"/>
      <c r="L52" s="77"/>
      <c r="M52" s="77"/>
      <c r="N52" s="77"/>
      <c r="O52" s="77"/>
    </row>
    <row r="53" spans="1:15" ht="15" x14ac:dyDescent="0.25">
      <c r="A53" s="168"/>
      <c r="B53" s="168"/>
      <c r="C53" s="168"/>
      <c r="D53" s="168"/>
      <c r="E53" s="168"/>
      <c r="F53" s="168"/>
      <c r="G53" s="77"/>
      <c r="H53" s="77"/>
      <c r="I53" s="77"/>
      <c r="J53" s="77"/>
      <c r="K53" s="77"/>
      <c r="L53" s="77"/>
      <c r="M53" s="77"/>
      <c r="N53" s="77"/>
      <c r="O53" s="77"/>
    </row>
    <row r="54" spans="1:15" ht="15" x14ac:dyDescent="0.25">
      <c r="A54" s="77"/>
      <c r="B54" s="77"/>
      <c r="C54" s="77"/>
      <c r="D54" s="77"/>
      <c r="E54" s="77"/>
      <c r="F54" s="77"/>
      <c r="G54" s="77"/>
      <c r="H54" s="77"/>
      <c r="I54" s="77"/>
      <c r="J54" s="77"/>
      <c r="K54" s="77"/>
      <c r="L54" s="77"/>
      <c r="M54" s="77"/>
      <c r="N54" s="77"/>
      <c r="O54" s="77"/>
    </row>
    <row r="55" spans="1:15" ht="15" x14ac:dyDescent="0.25">
      <c r="A55" s="77"/>
      <c r="B55" s="77"/>
      <c r="C55" s="77"/>
      <c r="D55" s="77"/>
      <c r="E55" s="77"/>
      <c r="F55" s="77"/>
      <c r="G55" s="77"/>
      <c r="H55" s="77"/>
      <c r="I55" s="77"/>
      <c r="J55" s="77"/>
      <c r="K55" s="77"/>
      <c r="L55" s="77"/>
      <c r="M55" s="77"/>
      <c r="N55" s="77"/>
      <c r="O55" s="77"/>
    </row>
    <row r="56" spans="1:15" ht="15" x14ac:dyDescent="0.25">
      <c r="A56" s="77"/>
      <c r="B56" s="77"/>
      <c r="C56" s="77"/>
      <c r="D56" s="77"/>
      <c r="E56" s="77"/>
      <c r="F56" s="77"/>
      <c r="G56" s="77"/>
      <c r="H56" s="77"/>
      <c r="I56" s="77"/>
      <c r="J56" s="77"/>
      <c r="K56" s="77"/>
      <c r="L56" s="77"/>
      <c r="M56" s="77"/>
      <c r="N56" s="77"/>
      <c r="O56" s="77"/>
    </row>
    <row r="57" spans="1:15" ht="15" x14ac:dyDescent="0.25">
      <c r="A57" s="77"/>
      <c r="B57" s="77"/>
      <c r="C57" s="77"/>
      <c r="D57" s="77"/>
      <c r="E57" s="77"/>
      <c r="F57" s="77"/>
      <c r="G57" s="77"/>
      <c r="H57" s="77"/>
      <c r="I57" s="77"/>
      <c r="J57" s="77"/>
      <c r="K57" s="77"/>
      <c r="L57" s="77"/>
      <c r="M57" s="77"/>
      <c r="N57" s="77"/>
      <c r="O57" s="77"/>
    </row>
    <row r="58" spans="1:15" ht="15" x14ac:dyDescent="0.25">
      <c r="A58" s="77"/>
      <c r="B58" s="77"/>
      <c r="C58" s="77"/>
      <c r="D58" s="77"/>
      <c r="E58" s="77"/>
      <c r="F58" s="77"/>
      <c r="G58" s="77"/>
      <c r="H58" s="77"/>
      <c r="I58" s="77"/>
      <c r="J58" s="77"/>
      <c r="K58" s="77"/>
      <c r="L58" s="77"/>
      <c r="M58" s="77"/>
      <c r="N58" s="77"/>
      <c r="O58" s="77"/>
    </row>
    <row r="59" spans="1:15" ht="15" x14ac:dyDescent="0.25">
      <c r="A59" s="77"/>
      <c r="B59" s="77"/>
      <c r="C59" s="77"/>
      <c r="D59" s="77"/>
      <c r="E59" s="77"/>
      <c r="F59" s="77"/>
      <c r="G59" s="77"/>
      <c r="H59" s="77"/>
      <c r="I59" s="77"/>
      <c r="J59" s="77"/>
      <c r="K59" s="77"/>
      <c r="L59" s="77"/>
      <c r="M59" s="77"/>
      <c r="N59" s="77"/>
      <c r="O59" s="77"/>
    </row>
    <row r="60" spans="1:15" ht="15" x14ac:dyDescent="0.25">
      <c r="A60" s="77"/>
      <c r="B60" s="77"/>
      <c r="C60" s="77"/>
      <c r="D60" s="77"/>
      <c r="E60" s="77"/>
      <c r="F60" s="77"/>
      <c r="G60" s="77"/>
      <c r="H60" s="77"/>
      <c r="I60" s="77"/>
      <c r="J60" s="77"/>
      <c r="K60" s="77"/>
      <c r="L60" s="77"/>
      <c r="M60" s="77"/>
      <c r="N60" s="77"/>
      <c r="O60" s="77"/>
    </row>
    <row r="61" spans="1:15" ht="15" x14ac:dyDescent="0.25">
      <c r="A61" s="77"/>
      <c r="B61" s="77"/>
      <c r="C61" s="77"/>
      <c r="D61" s="77"/>
      <c r="E61" s="77"/>
      <c r="F61" s="77"/>
      <c r="G61" s="77"/>
      <c r="H61" s="77"/>
      <c r="I61" s="77"/>
      <c r="J61" s="77"/>
      <c r="K61" s="77"/>
      <c r="L61" s="77"/>
      <c r="M61" s="77"/>
      <c r="N61" s="77"/>
      <c r="O61" s="77"/>
    </row>
    <row r="62" spans="1:15" ht="15" x14ac:dyDescent="0.25">
      <c r="A62" s="77"/>
      <c r="B62" s="77"/>
      <c r="C62" s="77"/>
      <c r="D62" s="77"/>
      <c r="E62" s="77"/>
      <c r="F62" s="77"/>
      <c r="G62" s="77"/>
      <c r="H62" s="77"/>
      <c r="I62" s="77"/>
      <c r="J62" s="77"/>
      <c r="K62" s="77"/>
      <c r="L62" s="77"/>
      <c r="M62" s="77"/>
      <c r="N62" s="77"/>
      <c r="O62" s="77"/>
    </row>
    <row r="63" spans="1:15" ht="15" x14ac:dyDescent="0.25">
      <c r="A63" s="77"/>
      <c r="B63" s="77"/>
      <c r="C63" s="77"/>
      <c r="D63" s="77"/>
      <c r="E63" s="77"/>
      <c r="F63" s="77"/>
      <c r="G63" s="77"/>
      <c r="H63" s="77"/>
      <c r="I63" s="77"/>
      <c r="J63" s="77"/>
      <c r="K63" s="77"/>
      <c r="L63" s="77"/>
      <c r="M63" s="77"/>
      <c r="N63" s="77"/>
      <c r="O63" s="77"/>
    </row>
    <row r="64" spans="1:15" ht="15" x14ac:dyDescent="0.25">
      <c r="A64" s="77"/>
      <c r="B64" s="77"/>
      <c r="C64" s="77"/>
      <c r="D64" s="77"/>
      <c r="E64" s="77"/>
      <c r="F64" s="77"/>
      <c r="G64" s="77"/>
      <c r="H64" s="77"/>
      <c r="I64" s="77"/>
      <c r="J64" s="77"/>
      <c r="K64" s="77"/>
      <c r="L64" s="77"/>
      <c r="M64" s="77"/>
      <c r="N64" s="77"/>
      <c r="O64" s="77"/>
    </row>
    <row r="65" spans="1:15" ht="15" x14ac:dyDescent="0.25">
      <c r="A65" s="77"/>
      <c r="B65" s="77"/>
      <c r="C65" s="77"/>
      <c r="D65" s="77"/>
      <c r="E65" s="77"/>
      <c r="F65" s="77"/>
      <c r="G65" s="77"/>
      <c r="H65" s="77"/>
      <c r="I65" s="77"/>
      <c r="J65" s="77"/>
      <c r="K65" s="77"/>
      <c r="L65" s="77"/>
      <c r="M65" s="77"/>
      <c r="N65" s="77"/>
      <c r="O65" s="77"/>
    </row>
    <row r="66" spans="1:15" ht="15" x14ac:dyDescent="0.25">
      <c r="A66" s="77"/>
      <c r="B66" s="77"/>
      <c r="C66" s="77"/>
      <c r="D66" s="77"/>
      <c r="E66" s="77"/>
      <c r="F66" s="77"/>
      <c r="G66" s="77"/>
      <c r="H66" s="77"/>
      <c r="I66" s="77"/>
      <c r="J66" s="77"/>
      <c r="K66" s="77"/>
      <c r="L66" s="77"/>
      <c r="M66" s="77"/>
      <c r="N66" s="77"/>
      <c r="O66" s="77"/>
    </row>
    <row r="67" spans="1:15" ht="15" x14ac:dyDescent="0.25">
      <c r="A67" s="77"/>
      <c r="B67" s="77"/>
      <c r="C67" s="77"/>
      <c r="D67" s="77"/>
      <c r="E67" s="77"/>
      <c r="F67" s="77"/>
      <c r="G67" s="77"/>
      <c r="H67" s="77"/>
      <c r="I67" s="77"/>
      <c r="J67" s="77"/>
      <c r="K67" s="77"/>
      <c r="L67" s="77"/>
      <c r="M67" s="77"/>
      <c r="N67" s="77"/>
      <c r="O67" s="77"/>
    </row>
    <row r="68" spans="1:15" ht="15" x14ac:dyDescent="0.25">
      <c r="A68" s="77"/>
      <c r="B68" s="77"/>
      <c r="C68" s="77"/>
      <c r="D68" s="77"/>
      <c r="E68" s="77"/>
      <c r="F68" s="77"/>
      <c r="G68" s="77"/>
      <c r="H68" s="77"/>
      <c r="I68" s="77"/>
      <c r="J68" s="77"/>
      <c r="K68" s="77"/>
      <c r="L68" s="77"/>
      <c r="M68" s="77"/>
      <c r="N68" s="77"/>
      <c r="O68" s="77"/>
    </row>
    <row r="69" spans="1:15" ht="15" x14ac:dyDescent="0.25">
      <c r="A69" s="77"/>
      <c r="B69" s="77"/>
      <c r="C69" s="77"/>
      <c r="D69" s="77"/>
      <c r="E69" s="77"/>
      <c r="F69" s="77"/>
      <c r="G69" s="77"/>
      <c r="H69" s="77"/>
      <c r="I69" s="77"/>
      <c r="J69" s="77"/>
      <c r="K69" s="77"/>
      <c r="L69" s="77"/>
      <c r="M69" s="77"/>
      <c r="N69" s="77"/>
      <c r="O69" s="77"/>
    </row>
    <row r="70" spans="1:15" ht="15" x14ac:dyDescent="0.25">
      <c r="A70" s="77"/>
      <c r="B70" s="77"/>
      <c r="C70" s="77"/>
      <c r="D70" s="77"/>
      <c r="E70" s="77"/>
      <c r="F70" s="77"/>
      <c r="G70" s="77"/>
      <c r="H70" s="77"/>
      <c r="I70" s="77"/>
      <c r="J70" s="77"/>
      <c r="K70" s="77"/>
      <c r="L70" s="77"/>
      <c r="M70" s="77"/>
      <c r="N70" s="77"/>
      <c r="O70" s="77"/>
    </row>
    <row r="71" spans="1:15" ht="15" x14ac:dyDescent="0.25">
      <c r="A71" s="77"/>
      <c r="B71" s="77"/>
      <c r="C71" s="77"/>
      <c r="D71" s="77"/>
      <c r="E71" s="77"/>
      <c r="F71" s="77"/>
      <c r="G71" s="77"/>
      <c r="H71" s="77"/>
      <c r="I71" s="77"/>
      <c r="J71" s="77"/>
      <c r="K71" s="77"/>
      <c r="L71" s="77"/>
      <c r="M71" s="77"/>
      <c r="N71" s="77"/>
      <c r="O71" s="77"/>
    </row>
    <row r="72" spans="1:15" ht="15" x14ac:dyDescent="0.25">
      <c r="A72" s="77"/>
      <c r="B72" s="77"/>
      <c r="C72" s="77"/>
      <c r="D72" s="77"/>
      <c r="E72" s="77"/>
      <c r="F72" s="77"/>
      <c r="G72" s="77"/>
      <c r="H72" s="77"/>
      <c r="I72" s="77"/>
      <c r="J72" s="77"/>
      <c r="K72" s="77"/>
      <c r="L72" s="77"/>
      <c r="M72" s="77"/>
      <c r="N72" s="77"/>
      <c r="O72" s="77"/>
    </row>
    <row r="73" spans="1:15" ht="15" x14ac:dyDescent="0.25">
      <c r="A73" s="77"/>
      <c r="B73" s="77"/>
      <c r="C73" s="77"/>
      <c r="D73" s="77"/>
      <c r="E73" s="77"/>
      <c r="F73" s="77"/>
      <c r="G73" s="77"/>
      <c r="H73" s="77"/>
      <c r="I73" s="77"/>
      <c r="J73" s="77"/>
      <c r="K73" s="77"/>
      <c r="L73" s="77"/>
      <c r="M73" s="77"/>
      <c r="N73" s="77"/>
      <c r="O73" s="77"/>
    </row>
    <row r="74" spans="1:15" ht="15" x14ac:dyDescent="0.25">
      <c r="A74" s="77"/>
      <c r="B74" s="77"/>
      <c r="C74" s="77"/>
      <c r="D74" s="77"/>
      <c r="E74" s="77"/>
      <c r="F74" s="77"/>
      <c r="G74" s="77"/>
      <c r="H74" s="77"/>
      <c r="I74" s="77"/>
      <c r="J74" s="77"/>
      <c r="K74" s="77"/>
      <c r="L74" s="77"/>
      <c r="M74" s="77"/>
      <c r="N74" s="77"/>
      <c r="O74" s="77"/>
    </row>
    <row r="75" spans="1:15" ht="15" x14ac:dyDescent="0.25">
      <c r="A75" s="77"/>
      <c r="B75" s="77"/>
      <c r="C75" s="77"/>
      <c r="D75" s="77"/>
      <c r="E75" s="77"/>
      <c r="F75" s="77"/>
      <c r="G75" s="77"/>
      <c r="H75" s="77"/>
      <c r="I75" s="77"/>
      <c r="J75" s="77"/>
      <c r="K75" s="77"/>
      <c r="L75" s="77"/>
      <c r="M75" s="77"/>
      <c r="N75" s="77"/>
      <c r="O75" s="77"/>
    </row>
    <row r="76" spans="1:15" ht="15" x14ac:dyDescent="0.25">
      <c r="A76" s="77"/>
      <c r="B76" s="77"/>
      <c r="C76" s="77"/>
      <c r="D76" s="77"/>
      <c r="E76" s="77"/>
      <c r="F76" s="77"/>
      <c r="G76" s="77"/>
      <c r="H76" s="77"/>
      <c r="I76" s="77"/>
      <c r="J76" s="77"/>
      <c r="K76" s="77"/>
      <c r="L76" s="77"/>
      <c r="M76" s="77"/>
      <c r="N76" s="77"/>
      <c r="O76" s="77"/>
    </row>
    <row r="77" spans="1:15" ht="15" x14ac:dyDescent="0.25">
      <c r="A77" s="77"/>
      <c r="B77" s="77"/>
      <c r="C77" s="77"/>
      <c r="D77" s="77"/>
      <c r="E77" s="77"/>
      <c r="F77" s="77"/>
      <c r="G77" s="77"/>
      <c r="H77" s="77"/>
      <c r="I77" s="77"/>
      <c r="J77" s="77"/>
      <c r="K77" s="77"/>
      <c r="L77" s="77"/>
      <c r="M77" s="77"/>
      <c r="N77" s="77"/>
      <c r="O77" s="77"/>
    </row>
    <row r="78" spans="1:15" ht="15" x14ac:dyDescent="0.25">
      <c r="A78" s="77"/>
      <c r="B78" s="77"/>
      <c r="C78" s="77"/>
      <c r="D78" s="77"/>
      <c r="E78" s="77"/>
      <c r="F78" s="77"/>
      <c r="G78" s="77"/>
      <c r="H78" s="77"/>
      <c r="I78" s="77"/>
      <c r="J78" s="77"/>
      <c r="K78" s="77"/>
      <c r="L78" s="77"/>
      <c r="M78" s="77"/>
      <c r="N78" s="77"/>
      <c r="O78" s="77"/>
    </row>
    <row r="79" spans="1:15" ht="15" x14ac:dyDescent="0.25">
      <c r="A79" s="77"/>
      <c r="B79" s="77"/>
      <c r="C79" s="77"/>
      <c r="D79" s="77"/>
      <c r="E79" s="77"/>
      <c r="F79" s="77"/>
      <c r="G79" s="77"/>
      <c r="H79" s="77"/>
      <c r="I79" s="77"/>
      <c r="J79" s="77"/>
      <c r="K79" s="77"/>
      <c r="L79" s="77"/>
      <c r="M79" s="77"/>
      <c r="N79" s="77"/>
      <c r="O79" s="77"/>
    </row>
    <row r="80" spans="1:15" ht="15" x14ac:dyDescent="0.25">
      <c r="A80" s="77"/>
      <c r="B80" s="77"/>
      <c r="C80" s="77"/>
      <c r="D80" s="77"/>
      <c r="E80" s="77"/>
      <c r="F80" s="77"/>
      <c r="G80" s="77"/>
      <c r="H80" s="77"/>
      <c r="I80" s="77"/>
      <c r="J80" s="77"/>
      <c r="K80" s="77"/>
      <c r="L80" s="77"/>
      <c r="M80" s="77"/>
      <c r="N80" s="77"/>
      <c r="O80" s="77"/>
    </row>
    <row r="81" spans="1:15" ht="15" x14ac:dyDescent="0.25">
      <c r="A81" s="77"/>
      <c r="B81" s="77"/>
      <c r="C81" s="77"/>
      <c r="D81" s="77"/>
      <c r="E81" s="77"/>
      <c r="F81" s="77"/>
      <c r="G81" s="77"/>
      <c r="H81" s="77"/>
      <c r="I81" s="77"/>
      <c r="J81" s="77"/>
      <c r="K81" s="77"/>
      <c r="L81" s="77"/>
      <c r="M81" s="77"/>
      <c r="N81" s="77"/>
      <c r="O81" s="77"/>
    </row>
    <row r="82" spans="1:15" ht="15" x14ac:dyDescent="0.25">
      <c r="A82" s="77"/>
      <c r="B82" s="77"/>
      <c r="C82" s="77"/>
      <c r="D82" s="77"/>
      <c r="E82" s="77"/>
      <c r="F82" s="77"/>
      <c r="G82" s="77"/>
      <c r="H82" s="77"/>
      <c r="I82" s="77"/>
      <c r="J82" s="77"/>
      <c r="K82" s="77"/>
      <c r="L82" s="77"/>
      <c r="M82" s="77"/>
      <c r="N82" s="77"/>
      <c r="O82" s="77"/>
    </row>
    <row r="83" spans="1:15" ht="15" x14ac:dyDescent="0.25">
      <c r="A83" s="77"/>
      <c r="B83" s="77"/>
      <c r="C83" s="77"/>
      <c r="D83" s="77"/>
      <c r="E83" s="77"/>
      <c r="F83" s="77"/>
      <c r="G83" s="77"/>
      <c r="H83" s="77"/>
      <c r="I83" s="77"/>
      <c r="J83" s="77"/>
      <c r="K83" s="77"/>
      <c r="L83" s="77"/>
      <c r="M83" s="77"/>
      <c r="N83" s="77"/>
      <c r="O83" s="77"/>
    </row>
    <row r="84" spans="1:15" ht="15" x14ac:dyDescent="0.25">
      <c r="A84" s="77"/>
      <c r="B84" s="77"/>
      <c r="C84" s="77"/>
      <c r="D84" s="77"/>
      <c r="E84" s="77"/>
      <c r="F84" s="77"/>
      <c r="G84" s="77"/>
      <c r="H84" s="77"/>
      <c r="I84" s="77"/>
      <c r="J84" s="77"/>
      <c r="K84" s="77"/>
      <c r="L84" s="77"/>
      <c r="M84" s="77"/>
      <c r="N84" s="77"/>
      <c r="O84" s="77"/>
    </row>
    <row r="85" spans="1:15" ht="15" x14ac:dyDescent="0.25">
      <c r="A85" s="77"/>
      <c r="B85" s="77"/>
      <c r="C85" s="77"/>
      <c r="D85" s="77"/>
      <c r="E85" s="77"/>
      <c r="F85" s="77"/>
      <c r="G85" s="77"/>
      <c r="H85" s="77"/>
      <c r="I85" s="77"/>
      <c r="J85" s="77"/>
      <c r="K85" s="77"/>
      <c r="L85" s="77"/>
      <c r="M85" s="77"/>
      <c r="N85" s="77"/>
      <c r="O85" s="77"/>
    </row>
    <row r="86" spans="1:15" ht="15" x14ac:dyDescent="0.25">
      <c r="A86" s="77"/>
      <c r="B86" s="77"/>
      <c r="C86" s="77"/>
      <c r="D86" s="77"/>
      <c r="E86" s="77"/>
      <c r="F86" s="77"/>
      <c r="G86" s="77"/>
      <c r="H86" s="77"/>
      <c r="I86" s="77"/>
      <c r="J86" s="77"/>
      <c r="K86" s="77"/>
      <c r="L86" s="77"/>
      <c r="M86" s="77"/>
      <c r="N86" s="77"/>
      <c r="O86" s="77"/>
    </row>
    <row r="87" spans="1:15" ht="15" x14ac:dyDescent="0.25">
      <c r="A87" s="77"/>
      <c r="B87" s="77"/>
      <c r="C87" s="77"/>
      <c r="D87" s="77"/>
      <c r="E87" s="77"/>
      <c r="F87" s="77"/>
      <c r="G87" s="77"/>
      <c r="H87" s="77"/>
      <c r="I87" s="77"/>
      <c r="J87" s="77"/>
      <c r="K87" s="77"/>
      <c r="L87" s="77"/>
      <c r="M87" s="77"/>
      <c r="N87" s="77"/>
      <c r="O87" s="77"/>
    </row>
    <row r="88" spans="1:15" ht="15" x14ac:dyDescent="0.25">
      <c r="A88" s="77"/>
      <c r="B88" s="77"/>
      <c r="C88" s="77"/>
      <c r="D88" s="77"/>
      <c r="E88" s="77"/>
      <c r="F88" s="77"/>
      <c r="G88" s="77"/>
      <c r="H88" s="77"/>
      <c r="I88" s="77"/>
      <c r="J88" s="77"/>
      <c r="K88" s="77"/>
      <c r="L88" s="77"/>
      <c r="M88" s="77"/>
      <c r="N88" s="77"/>
      <c r="O88" s="77"/>
    </row>
    <row r="89" spans="1:15" ht="15" x14ac:dyDescent="0.25">
      <c r="A89" s="77"/>
      <c r="B89" s="77"/>
      <c r="C89" s="77"/>
      <c r="D89" s="77"/>
      <c r="E89" s="77"/>
      <c r="F89" s="77"/>
      <c r="G89" s="77"/>
      <c r="H89" s="77"/>
      <c r="I89" s="77"/>
      <c r="J89" s="77"/>
      <c r="K89" s="77"/>
      <c r="L89" s="77"/>
      <c r="M89" s="77"/>
      <c r="N89" s="77"/>
      <c r="O89" s="77"/>
    </row>
    <row r="90" spans="1:15" ht="15" x14ac:dyDescent="0.25">
      <c r="A90" s="77"/>
      <c r="B90" s="77"/>
      <c r="C90" s="77"/>
      <c r="D90" s="77"/>
      <c r="E90" s="77"/>
      <c r="F90" s="77"/>
      <c r="G90" s="77"/>
      <c r="H90" s="77"/>
      <c r="I90" s="77"/>
      <c r="J90" s="77"/>
      <c r="K90" s="77"/>
      <c r="L90" s="77"/>
      <c r="M90" s="77"/>
      <c r="N90" s="77"/>
      <c r="O90" s="77"/>
    </row>
    <row r="91" spans="1:15" ht="15" x14ac:dyDescent="0.25">
      <c r="A91" s="77"/>
      <c r="B91" s="77"/>
      <c r="C91" s="77"/>
      <c r="D91" s="77"/>
      <c r="E91" s="77"/>
      <c r="F91" s="77"/>
      <c r="G91" s="77"/>
      <c r="H91" s="77"/>
      <c r="I91" s="77"/>
      <c r="J91" s="77"/>
      <c r="K91" s="77"/>
      <c r="L91" s="77"/>
      <c r="M91" s="77"/>
      <c r="N91" s="77"/>
      <c r="O91" s="77"/>
    </row>
    <row r="92" spans="1:15" ht="15" x14ac:dyDescent="0.25">
      <c r="A92" s="77"/>
      <c r="B92" s="77"/>
      <c r="C92" s="77"/>
      <c r="D92" s="77"/>
      <c r="E92" s="77"/>
      <c r="F92" s="77"/>
      <c r="G92" s="77"/>
      <c r="H92" s="77"/>
      <c r="I92" s="77"/>
      <c r="J92" s="77"/>
      <c r="K92" s="77"/>
      <c r="L92" s="77"/>
      <c r="M92" s="77"/>
      <c r="N92" s="77"/>
      <c r="O92" s="77"/>
    </row>
    <row r="93" spans="1:15" ht="15" x14ac:dyDescent="0.25">
      <c r="A93" s="77"/>
      <c r="B93" s="77"/>
      <c r="C93" s="77"/>
      <c r="D93" s="77"/>
      <c r="E93" s="77"/>
      <c r="F93" s="77"/>
      <c r="G93" s="77"/>
      <c r="H93" s="77"/>
      <c r="I93" s="77"/>
      <c r="J93" s="77"/>
      <c r="K93" s="77"/>
      <c r="L93" s="77"/>
      <c r="M93" s="77"/>
      <c r="N93" s="77"/>
      <c r="O93" s="77"/>
    </row>
    <row r="94" spans="1:15" ht="15" x14ac:dyDescent="0.25">
      <c r="A94" s="77"/>
      <c r="B94" s="77"/>
      <c r="C94" s="77"/>
      <c r="D94" s="77"/>
      <c r="E94" s="77"/>
      <c r="F94" s="77"/>
      <c r="G94" s="77"/>
      <c r="H94" s="77"/>
      <c r="I94" s="77"/>
      <c r="J94" s="77"/>
      <c r="K94" s="77"/>
      <c r="L94" s="77"/>
      <c r="M94" s="77"/>
      <c r="N94" s="77"/>
      <c r="O94" s="77"/>
    </row>
    <row r="95" spans="1:15" ht="15" x14ac:dyDescent="0.25">
      <c r="A95" s="77"/>
      <c r="B95" s="77"/>
      <c r="C95" s="77"/>
      <c r="D95" s="77"/>
      <c r="E95" s="77"/>
      <c r="F95" s="77"/>
      <c r="G95" s="77"/>
      <c r="H95" s="77"/>
      <c r="I95" s="77"/>
      <c r="J95" s="77"/>
      <c r="K95" s="77"/>
      <c r="L95" s="77"/>
      <c r="M95" s="77"/>
      <c r="N95" s="77"/>
      <c r="O95" s="77"/>
    </row>
    <row r="96" spans="1:15" ht="15" x14ac:dyDescent="0.25">
      <c r="A96" s="77"/>
      <c r="B96" s="77"/>
      <c r="C96" s="77"/>
      <c r="D96" s="77"/>
      <c r="E96" s="77"/>
      <c r="F96" s="77"/>
      <c r="G96" s="77"/>
      <c r="H96" s="77"/>
      <c r="I96" s="77"/>
      <c r="J96" s="77"/>
      <c r="K96" s="77"/>
      <c r="L96" s="77"/>
      <c r="M96" s="77"/>
      <c r="N96" s="77"/>
      <c r="O96" s="77"/>
    </row>
    <row r="97" spans="1:15" ht="15" x14ac:dyDescent="0.25">
      <c r="A97" s="77"/>
      <c r="B97" s="77"/>
      <c r="C97" s="77"/>
      <c r="D97" s="77"/>
      <c r="E97" s="77"/>
      <c r="F97" s="77"/>
      <c r="G97" s="77"/>
      <c r="H97" s="77"/>
      <c r="I97" s="77"/>
      <c r="J97" s="77"/>
      <c r="K97" s="77"/>
      <c r="L97" s="77"/>
      <c r="M97" s="77"/>
      <c r="N97" s="77"/>
      <c r="O97" s="77"/>
    </row>
    <row r="98" spans="1:15" ht="15" x14ac:dyDescent="0.25">
      <c r="A98" s="77"/>
      <c r="B98" s="77"/>
      <c r="C98" s="77"/>
      <c r="D98" s="77"/>
      <c r="E98" s="77"/>
      <c r="F98" s="77"/>
      <c r="G98" s="77"/>
      <c r="H98" s="77"/>
      <c r="I98" s="77"/>
      <c r="J98" s="77"/>
      <c r="K98" s="77"/>
      <c r="L98" s="77"/>
      <c r="M98" s="77"/>
      <c r="N98" s="77"/>
      <c r="O98" s="77"/>
    </row>
    <row r="99" spans="1:15" ht="15" x14ac:dyDescent="0.25">
      <c r="A99" s="77"/>
      <c r="B99" s="77"/>
      <c r="C99" s="77"/>
      <c r="D99" s="77"/>
      <c r="E99" s="77"/>
      <c r="F99" s="77"/>
      <c r="G99" s="77"/>
      <c r="H99" s="77"/>
      <c r="I99" s="77"/>
      <c r="J99" s="77"/>
      <c r="K99" s="77"/>
      <c r="L99" s="77"/>
      <c r="M99" s="77"/>
      <c r="N99" s="77"/>
      <c r="O99" s="77"/>
    </row>
    <row r="100" spans="1:15" ht="15.6" thickBot="1" x14ac:dyDescent="0.3">
      <c r="A100" s="77"/>
      <c r="B100" s="77"/>
      <c r="C100" s="77"/>
      <c r="D100" s="77"/>
      <c r="E100" s="77"/>
      <c r="F100" s="77"/>
      <c r="G100" s="77"/>
      <c r="H100" s="77"/>
      <c r="I100" s="77"/>
      <c r="J100" s="77"/>
      <c r="K100" s="77"/>
      <c r="L100" s="77"/>
      <c r="M100" s="77"/>
      <c r="N100" s="77"/>
      <c r="O100" s="77"/>
    </row>
    <row r="101" spans="1:15" ht="15" x14ac:dyDescent="0.25">
      <c r="A101" s="894" t="s">
        <v>195</v>
      </c>
      <c r="B101" s="895"/>
      <c r="C101" s="895"/>
      <c r="D101" s="895"/>
      <c r="E101" s="895"/>
      <c r="F101" s="896"/>
      <c r="G101" s="77"/>
      <c r="H101" s="77"/>
      <c r="I101" s="77"/>
      <c r="J101" s="77"/>
      <c r="K101" s="77"/>
      <c r="L101" s="77"/>
      <c r="M101" s="77"/>
      <c r="N101" s="77"/>
      <c r="O101" s="77"/>
    </row>
    <row r="102" spans="1:15" ht="15.6" thickBot="1" x14ac:dyDescent="0.3">
      <c r="A102" s="897"/>
      <c r="B102" s="898"/>
      <c r="C102" s="898"/>
      <c r="D102" s="898"/>
      <c r="E102" s="898"/>
      <c r="F102" s="899"/>
      <c r="G102" s="77"/>
      <c r="H102" s="77"/>
      <c r="I102" s="77"/>
      <c r="J102" s="77"/>
      <c r="K102" s="77"/>
      <c r="L102" s="77"/>
      <c r="M102" s="77"/>
      <c r="N102" s="77"/>
      <c r="O102" s="77"/>
    </row>
    <row r="103" spans="1:15" ht="15" x14ac:dyDescent="0.25">
      <c r="A103" s="162" t="s">
        <v>5</v>
      </c>
      <c r="B103" s="161" t="s">
        <v>6</v>
      </c>
      <c r="C103" s="161" t="s">
        <v>13</v>
      </c>
      <c r="D103" s="161" t="s">
        <v>82</v>
      </c>
      <c r="E103" s="161" t="s">
        <v>115</v>
      </c>
      <c r="F103" s="163" t="s">
        <v>116</v>
      </c>
      <c r="G103" s="77"/>
      <c r="H103" s="77"/>
      <c r="I103" s="77"/>
      <c r="J103" s="77"/>
      <c r="K103" s="77"/>
      <c r="L103" s="77"/>
      <c r="M103" s="77"/>
      <c r="N103" s="77"/>
      <c r="O103" s="77"/>
    </row>
    <row r="104" spans="1:15" ht="15" x14ac:dyDescent="0.25">
      <c r="A104" s="104" t="s">
        <v>239</v>
      </c>
      <c r="B104" s="106"/>
      <c r="C104" s="106"/>
      <c r="D104" s="105"/>
      <c r="E104" s="106"/>
      <c r="F104" s="107"/>
      <c r="G104" s="77"/>
      <c r="H104" s="77"/>
      <c r="I104" s="77"/>
      <c r="J104" s="77"/>
      <c r="K104" s="77"/>
      <c r="L104" s="77"/>
      <c r="M104" s="77"/>
      <c r="N104" s="77"/>
      <c r="O104" s="77"/>
    </row>
    <row r="105" spans="1:15" ht="30" x14ac:dyDescent="0.25">
      <c r="A105" s="104" t="s">
        <v>91</v>
      </c>
      <c r="B105" s="106" t="s">
        <v>190</v>
      </c>
      <c r="C105" s="106" t="s">
        <v>18</v>
      </c>
      <c r="D105" s="105" t="s">
        <v>8</v>
      </c>
      <c r="E105" s="106" t="s">
        <v>36</v>
      </c>
      <c r="F105" s="107" t="s">
        <v>29</v>
      </c>
      <c r="G105" s="77"/>
      <c r="H105" s="77"/>
      <c r="I105" s="77"/>
      <c r="J105" s="77"/>
      <c r="K105" s="77"/>
      <c r="L105" s="77"/>
      <c r="M105" s="77"/>
      <c r="N105" s="77"/>
      <c r="O105" s="77"/>
    </row>
    <row r="106" spans="1:15" ht="30" x14ac:dyDescent="0.25">
      <c r="A106" s="117" t="s">
        <v>27</v>
      </c>
      <c r="B106" s="106" t="s">
        <v>192</v>
      </c>
      <c r="C106" s="106" t="s">
        <v>15</v>
      </c>
      <c r="D106" s="105" t="s">
        <v>84</v>
      </c>
      <c r="E106" s="106" t="s">
        <v>35</v>
      </c>
      <c r="F106" s="107" t="s">
        <v>28</v>
      </c>
      <c r="G106" s="77"/>
      <c r="H106" s="77"/>
      <c r="I106" s="77"/>
      <c r="J106" s="77"/>
      <c r="K106" s="77"/>
      <c r="L106" s="77"/>
      <c r="M106" s="77"/>
      <c r="N106" s="77"/>
      <c r="O106" s="77"/>
    </row>
    <row r="107" spans="1:15" ht="30" x14ac:dyDescent="0.25">
      <c r="A107" s="117" t="s">
        <v>125</v>
      </c>
      <c r="B107" s="106" t="s">
        <v>191</v>
      </c>
      <c r="C107" s="106" t="s">
        <v>16</v>
      </c>
      <c r="D107" s="105"/>
      <c r="E107" s="106" t="s">
        <v>46</v>
      </c>
      <c r="F107" s="107" t="s">
        <v>34</v>
      </c>
      <c r="G107" s="77"/>
      <c r="H107" s="77"/>
      <c r="I107" s="77"/>
      <c r="J107" s="77"/>
      <c r="K107" s="77"/>
      <c r="L107" s="77"/>
      <c r="M107" s="77"/>
      <c r="N107" s="77"/>
      <c r="O107" s="77"/>
    </row>
    <row r="108" spans="1:15" ht="15" x14ac:dyDescent="0.25">
      <c r="A108" s="104" t="s">
        <v>128</v>
      </c>
      <c r="B108" s="106" t="s">
        <v>193</v>
      </c>
      <c r="C108" s="106" t="s">
        <v>20</v>
      </c>
      <c r="D108" s="105"/>
      <c r="E108" s="106" t="s">
        <v>142</v>
      </c>
      <c r="F108" s="107" t="s">
        <v>142</v>
      </c>
      <c r="G108" s="77"/>
      <c r="H108" s="77"/>
      <c r="I108" s="77"/>
      <c r="J108" s="77"/>
      <c r="K108" s="77"/>
      <c r="L108" s="77"/>
      <c r="M108" s="77"/>
      <c r="N108" s="77"/>
      <c r="O108" s="77"/>
    </row>
    <row r="109" spans="1:15" ht="15" x14ac:dyDescent="0.25">
      <c r="A109" s="117" t="s">
        <v>92</v>
      </c>
      <c r="B109" s="105"/>
      <c r="C109" s="106" t="s">
        <v>19</v>
      </c>
      <c r="D109" s="105"/>
      <c r="E109" s="106" t="s">
        <v>37</v>
      </c>
      <c r="F109" s="107" t="s">
        <v>30</v>
      </c>
      <c r="G109" s="77"/>
      <c r="H109" s="77"/>
      <c r="I109" s="77"/>
      <c r="J109" s="77"/>
      <c r="K109" s="77"/>
      <c r="L109" s="77"/>
      <c r="M109" s="77"/>
      <c r="N109" s="77"/>
      <c r="O109" s="77"/>
    </row>
    <row r="110" spans="1:15" ht="15" x14ac:dyDescent="0.25">
      <c r="A110" s="104" t="s">
        <v>194</v>
      </c>
      <c r="B110" s="105"/>
      <c r="C110" s="106" t="s">
        <v>21</v>
      </c>
      <c r="D110" s="105"/>
      <c r="E110" s="106" t="s">
        <v>117</v>
      </c>
      <c r="F110" s="107" t="s">
        <v>121</v>
      </c>
      <c r="G110" s="77"/>
      <c r="H110" s="77"/>
      <c r="I110" s="77"/>
      <c r="J110" s="77"/>
      <c r="K110" s="77"/>
      <c r="L110" s="77"/>
      <c r="M110" s="77"/>
      <c r="N110" s="77"/>
      <c r="O110" s="77"/>
    </row>
    <row r="111" spans="1:15" ht="30" x14ac:dyDescent="0.25">
      <c r="A111" s="104" t="s">
        <v>11</v>
      </c>
      <c r="B111" s="105"/>
      <c r="C111" s="106" t="s">
        <v>14</v>
      </c>
      <c r="D111" s="105"/>
      <c r="E111" s="106" t="s">
        <v>42</v>
      </c>
      <c r="F111" s="107" t="s">
        <v>40</v>
      </c>
      <c r="G111" s="77"/>
      <c r="H111" s="77"/>
      <c r="I111" s="77"/>
      <c r="J111" s="77"/>
      <c r="K111" s="77"/>
      <c r="L111" s="77"/>
      <c r="M111" s="77"/>
      <c r="N111" s="77"/>
      <c r="O111" s="77"/>
    </row>
    <row r="112" spans="1:15" ht="15" x14ac:dyDescent="0.25">
      <c r="A112" s="104" t="s">
        <v>1</v>
      </c>
      <c r="B112" s="105"/>
      <c r="C112" s="106" t="s">
        <v>17</v>
      </c>
      <c r="D112" s="105"/>
      <c r="E112" s="106" t="s">
        <v>38</v>
      </c>
      <c r="F112" s="107" t="s">
        <v>31</v>
      </c>
      <c r="G112" s="77"/>
      <c r="H112" s="77"/>
      <c r="I112" s="77"/>
      <c r="J112" s="77"/>
      <c r="K112" s="77"/>
      <c r="L112" s="77"/>
      <c r="M112" s="77"/>
      <c r="N112" s="77"/>
      <c r="O112" s="77"/>
    </row>
    <row r="113" spans="1:15" ht="15" x14ac:dyDescent="0.25">
      <c r="A113" s="117" t="s">
        <v>4</v>
      </c>
      <c r="B113" s="105"/>
      <c r="C113" s="106"/>
      <c r="D113" s="105"/>
      <c r="E113" s="106" t="s">
        <v>41</v>
      </c>
      <c r="F113" s="107" t="s">
        <v>39</v>
      </c>
      <c r="G113" s="77"/>
      <c r="H113" s="77"/>
      <c r="I113" s="77"/>
      <c r="J113" s="77"/>
      <c r="K113" s="77"/>
      <c r="L113" s="77"/>
      <c r="M113" s="77"/>
      <c r="N113" s="77"/>
      <c r="O113" s="77"/>
    </row>
    <row r="114" spans="1:15" ht="15" x14ac:dyDescent="0.25">
      <c r="A114" s="117" t="s">
        <v>126</v>
      </c>
      <c r="B114" s="105"/>
      <c r="C114" s="106"/>
      <c r="D114" s="105"/>
      <c r="E114" s="106" t="s">
        <v>43</v>
      </c>
      <c r="F114" s="107" t="s">
        <v>120</v>
      </c>
      <c r="G114" s="77"/>
      <c r="H114" s="77"/>
      <c r="I114" s="77"/>
      <c r="J114" s="77"/>
      <c r="K114" s="77"/>
      <c r="L114" s="77"/>
      <c r="M114" s="77"/>
      <c r="N114" s="77"/>
      <c r="O114" s="77"/>
    </row>
    <row r="115" spans="1:15" x14ac:dyDescent="0.25">
      <c r="A115" t="s">
        <v>238</v>
      </c>
      <c r="E115" t="s">
        <v>118</v>
      </c>
      <c r="F115" t="s">
        <v>122</v>
      </c>
    </row>
    <row r="116" spans="1:15" x14ac:dyDescent="0.25">
      <c r="A116" t="s">
        <v>183</v>
      </c>
      <c r="E116" t="s">
        <v>45</v>
      </c>
      <c r="F116" t="s">
        <v>32</v>
      </c>
    </row>
    <row r="117" spans="1:15" ht="15" x14ac:dyDescent="0.25">
      <c r="E117" s="106" t="s">
        <v>44</v>
      </c>
    </row>
  </sheetData>
  <mergeCells count="7">
    <mergeCell ref="A101:F102"/>
    <mergeCell ref="A1:O1"/>
    <mergeCell ref="A3:O3"/>
    <mergeCell ref="A11:O11"/>
    <mergeCell ref="A29:O29"/>
    <mergeCell ref="A41:O41"/>
    <mergeCell ref="A42:F42"/>
  </mergeCells>
  <dataValidations count="7">
    <dataValidation type="list" allowBlank="1" showInputMessage="1" showErrorMessage="1" sqref="G5:G10 G20:G27 G31 G14:G17" xr:uid="{00000000-0002-0000-2200-000000000000}">
      <formula1>$C$104:$C$112</formula1>
    </dataValidation>
    <dataValidation type="list" allowBlank="1" showInputMessage="1" showErrorMessage="1" sqref="A5:A10 A31:A32 A14:A17 A20:A27" xr:uid="{00000000-0002-0000-2200-000001000000}">
      <formula1>$D$104:$D$106</formula1>
    </dataValidation>
    <dataValidation type="list" allowBlank="1" showInputMessage="1" showErrorMessage="1" sqref="B5:B10 B31 B14:B17 B20:B27" xr:uid="{00000000-0002-0000-2200-000002000000}">
      <formula1>$B$104:$B$108</formula1>
    </dataValidation>
    <dataValidation type="list" allowBlank="1" showInputMessage="1" showErrorMessage="1" sqref="E5:E10 E14:E17 E31 E20:E27" xr:uid="{00000000-0002-0000-2200-000003000000}">
      <formula1>$F$104:$F$118</formula1>
    </dataValidation>
    <dataValidation type="list" allowBlank="1" showInputMessage="1" showErrorMessage="1" sqref="F5:F10 F14:F17 F31 F20:F27" xr:uid="{00000000-0002-0000-2200-000004000000}">
      <formula1>$E$104:$E$119</formula1>
    </dataValidation>
    <dataValidation type="list" allowBlank="1" showInputMessage="1" showErrorMessage="1" sqref="C20:D27 C14:D17 C31:D31 C5:D10" xr:uid="{00000000-0002-0000-2200-000005000000}">
      <formula1>$A$104:$A$116</formula1>
    </dataValidation>
    <dataValidation type="list" allowBlank="1" showInputMessage="1" showErrorMessage="1" sqref="C32:D40" xr:uid="{00000000-0002-0000-2200-000006000000}">
      <formula1>#REF!</formula1>
    </dataValidation>
  </dataValidations>
  <pageMargins left="0.7" right="0.7" top="0.75" bottom="0.75" header="0.3" footer="0.3"/>
  <legacyDrawing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16">
    <tabColor rgb="FFFF0000"/>
  </sheetPr>
  <dimension ref="A1:O116"/>
  <sheetViews>
    <sheetView topLeftCell="D4" zoomScale="63" zoomScaleNormal="63" workbookViewId="0">
      <selection activeCell="DD94" sqref="DD94"/>
    </sheetView>
  </sheetViews>
  <sheetFormatPr defaultColWidth="8.77734375" defaultRowHeight="13.2" x14ac:dyDescent="0.25"/>
  <cols>
    <col min="1" max="15" width="26.44140625" customWidth="1"/>
  </cols>
  <sheetData>
    <row r="1" spans="1:15" ht="18" thickBot="1" x14ac:dyDescent="0.3">
      <c r="A1" s="900" t="s">
        <v>189</v>
      </c>
      <c r="B1" s="900"/>
      <c r="C1" s="900"/>
      <c r="D1" s="900"/>
      <c r="E1" s="900"/>
      <c r="F1" s="900"/>
      <c r="G1" s="900"/>
      <c r="H1" s="900"/>
      <c r="I1" s="900"/>
      <c r="J1" s="900"/>
      <c r="K1" s="900"/>
      <c r="L1" s="900"/>
      <c r="M1" s="900"/>
      <c r="N1" s="900"/>
      <c r="O1" s="900"/>
    </row>
    <row r="2" spans="1:15" ht="17.399999999999999" x14ac:dyDescent="0.25">
      <c r="A2" s="299" t="s">
        <v>188</v>
      </c>
      <c r="B2" s="175">
        <v>40999</v>
      </c>
      <c r="C2" s="299"/>
      <c r="D2" s="299"/>
      <c r="E2" s="299"/>
      <c r="F2" s="299"/>
      <c r="G2" s="299"/>
      <c r="H2" s="299"/>
      <c r="I2" s="299"/>
      <c r="J2" s="299"/>
      <c r="K2" s="299"/>
      <c r="L2" s="299"/>
      <c r="M2" s="299"/>
      <c r="N2" s="299"/>
      <c r="O2" s="299"/>
    </row>
    <row r="3" spans="1:15" ht="15" x14ac:dyDescent="0.25">
      <c r="A3" s="901" t="s">
        <v>204</v>
      </c>
      <c r="B3" s="902"/>
      <c r="C3" s="902"/>
      <c r="D3" s="902"/>
      <c r="E3" s="902"/>
      <c r="F3" s="902"/>
      <c r="G3" s="902"/>
      <c r="H3" s="902"/>
      <c r="I3" s="902"/>
      <c r="J3" s="902"/>
      <c r="K3" s="902"/>
      <c r="L3" s="902"/>
      <c r="M3" s="902"/>
      <c r="N3" s="902"/>
      <c r="O3" s="903"/>
    </row>
    <row r="4" spans="1:15" ht="60" x14ac:dyDescent="0.25">
      <c r="A4" s="176" t="s">
        <v>89</v>
      </c>
      <c r="B4" s="176" t="s">
        <v>90</v>
      </c>
      <c r="C4" s="177" t="s">
        <v>0</v>
      </c>
      <c r="D4" s="177" t="s">
        <v>124</v>
      </c>
      <c r="E4" s="176" t="s">
        <v>143</v>
      </c>
      <c r="F4" s="176" t="s">
        <v>144</v>
      </c>
      <c r="G4" s="176" t="s">
        <v>13</v>
      </c>
      <c r="H4" s="176" t="s">
        <v>88</v>
      </c>
      <c r="I4" s="176" t="s">
        <v>12</v>
      </c>
      <c r="J4" s="176" t="s">
        <v>158</v>
      </c>
      <c r="K4" s="176" t="s">
        <v>148</v>
      </c>
      <c r="L4" s="176" t="s">
        <v>153</v>
      </c>
      <c r="M4" s="176" t="s">
        <v>104</v>
      </c>
      <c r="N4" s="176" t="s">
        <v>154</v>
      </c>
      <c r="O4" s="176" t="s">
        <v>205</v>
      </c>
    </row>
    <row r="5" spans="1:15" ht="30" x14ac:dyDescent="0.25">
      <c r="A5" s="82" t="s">
        <v>84</v>
      </c>
      <c r="B5" s="83" t="s">
        <v>3</v>
      </c>
      <c r="C5" s="83" t="s">
        <v>1</v>
      </c>
      <c r="D5" s="83" t="s">
        <v>1</v>
      </c>
      <c r="E5" s="84" t="s">
        <v>120</v>
      </c>
      <c r="F5" s="84" t="s">
        <v>42</v>
      </c>
      <c r="G5" s="83" t="s">
        <v>14</v>
      </c>
      <c r="H5" s="85">
        <v>44423</v>
      </c>
      <c r="I5" s="83" t="s">
        <v>23</v>
      </c>
      <c r="J5" s="173">
        <v>143.66499999999999</v>
      </c>
      <c r="K5" s="296">
        <v>125.28</v>
      </c>
      <c r="L5" s="296">
        <f>N5-M5</f>
        <v>16.84</v>
      </c>
      <c r="M5" s="296">
        <v>0.56999999999999995</v>
      </c>
      <c r="N5" s="296">
        <v>17.41</v>
      </c>
      <c r="O5" s="288"/>
    </row>
    <row r="6" spans="1:15" ht="30" x14ac:dyDescent="0.25">
      <c r="A6" s="90" t="s">
        <v>84</v>
      </c>
      <c r="B6" s="91" t="s">
        <v>3</v>
      </c>
      <c r="C6" s="91" t="s">
        <v>1</v>
      </c>
      <c r="D6" s="91" t="s">
        <v>1</v>
      </c>
      <c r="E6" s="92" t="s">
        <v>120</v>
      </c>
      <c r="F6" s="91" t="s">
        <v>42</v>
      </c>
      <c r="G6" s="91" t="s">
        <v>14</v>
      </c>
      <c r="H6" s="93">
        <v>44576</v>
      </c>
      <c r="I6" s="91" t="s">
        <v>24</v>
      </c>
      <c r="J6" s="174">
        <v>27.395</v>
      </c>
      <c r="K6" s="295">
        <v>26.9575</v>
      </c>
      <c r="L6" s="295">
        <f t="shared" ref="L6:L8" si="0">N6-M6</f>
        <v>4.59</v>
      </c>
      <c r="M6" s="295">
        <v>7.0000000000000007E-2</v>
      </c>
      <c r="N6" s="295">
        <v>4.66</v>
      </c>
      <c r="O6" s="289"/>
    </row>
    <row r="7" spans="1:15" ht="30" x14ac:dyDescent="0.25">
      <c r="A7" s="82" t="s">
        <v>84</v>
      </c>
      <c r="B7" s="83" t="s">
        <v>3</v>
      </c>
      <c r="C7" s="83" t="s">
        <v>194</v>
      </c>
      <c r="D7" s="83" t="s">
        <v>194</v>
      </c>
      <c r="E7" s="84" t="s">
        <v>39</v>
      </c>
      <c r="F7" s="84" t="s">
        <v>36</v>
      </c>
      <c r="G7" s="83" t="s">
        <v>14</v>
      </c>
      <c r="H7" s="85">
        <v>44576</v>
      </c>
      <c r="I7" s="83" t="s">
        <v>24</v>
      </c>
      <c r="J7" s="173">
        <v>26.85</v>
      </c>
      <c r="K7" s="296">
        <v>26.47</v>
      </c>
      <c r="L7" s="296">
        <f t="shared" si="0"/>
        <v>4.5</v>
      </c>
      <c r="M7" s="296">
        <v>7.0000000000000007E-2</v>
      </c>
      <c r="N7" s="296">
        <v>4.57</v>
      </c>
      <c r="O7" s="288"/>
    </row>
    <row r="8" spans="1:15" ht="30" x14ac:dyDescent="0.25">
      <c r="A8" s="90" t="s">
        <v>84</v>
      </c>
      <c r="B8" s="91" t="s">
        <v>3</v>
      </c>
      <c r="C8" s="91" t="s">
        <v>11</v>
      </c>
      <c r="D8" s="91" t="s">
        <v>125</v>
      </c>
      <c r="E8" s="92" t="s">
        <v>39</v>
      </c>
      <c r="F8" s="91" t="s">
        <v>38</v>
      </c>
      <c r="G8" s="91" t="s">
        <v>14</v>
      </c>
      <c r="H8" s="93">
        <v>46296</v>
      </c>
      <c r="I8" s="91" t="s">
        <v>25</v>
      </c>
      <c r="J8" s="174">
        <v>40.875</v>
      </c>
      <c r="K8" s="174">
        <v>39.75</v>
      </c>
      <c r="L8" s="174">
        <f t="shared" si="0"/>
        <v>6.2600000000000007</v>
      </c>
      <c r="M8" s="295">
        <v>0.06</v>
      </c>
      <c r="N8" s="174">
        <v>6.32</v>
      </c>
      <c r="O8" s="289"/>
    </row>
    <row r="9" spans="1:15" ht="15" x14ac:dyDescent="0.25">
      <c r="A9" s="98"/>
      <c r="B9" s="111"/>
      <c r="C9" s="111"/>
      <c r="D9" s="111"/>
      <c r="E9" s="123"/>
      <c r="F9" s="111"/>
      <c r="G9" s="111"/>
      <c r="H9" s="114"/>
      <c r="I9" s="111"/>
      <c r="J9" s="189"/>
      <c r="K9" s="189"/>
      <c r="L9" s="189"/>
      <c r="M9" s="189" t="s">
        <v>75</v>
      </c>
      <c r="N9" s="190"/>
      <c r="O9" s="190"/>
    </row>
    <row r="10" spans="1:15" ht="15" x14ac:dyDescent="0.25">
      <c r="A10" s="90"/>
      <c r="B10" s="91"/>
      <c r="C10" s="91"/>
      <c r="D10" s="91"/>
      <c r="E10" s="92"/>
      <c r="F10" s="91"/>
      <c r="G10" s="91"/>
      <c r="H10" s="93"/>
      <c r="I10" s="91"/>
      <c r="J10" s="174"/>
      <c r="K10" s="174"/>
      <c r="L10" s="174"/>
      <c r="M10" s="174"/>
      <c r="N10" s="289"/>
      <c r="O10" s="289"/>
    </row>
    <row r="11" spans="1:15" ht="15" x14ac:dyDescent="0.25">
      <c r="A11" s="901" t="s">
        <v>203</v>
      </c>
      <c r="B11" s="902"/>
      <c r="C11" s="902"/>
      <c r="D11" s="902"/>
      <c r="E11" s="902"/>
      <c r="F11" s="902"/>
      <c r="G11" s="902"/>
      <c r="H11" s="902"/>
      <c r="I11" s="902"/>
      <c r="J11" s="902"/>
      <c r="K11" s="902"/>
      <c r="L11" s="902"/>
      <c r="M11" s="902"/>
      <c r="N11" s="902"/>
      <c r="O11" s="903"/>
    </row>
    <row r="12" spans="1:15" ht="60" x14ac:dyDescent="0.25">
      <c r="A12" s="176" t="s">
        <v>89</v>
      </c>
      <c r="B12" s="176" t="s">
        <v>90</v>
      </c>
      <c r="C12" s="177" t="s">
        <v>0</v>
      </c>
      <c r="D12" s="180" t="s">
        <v>124</v>
      </c>
      <c r="E12" s="176" t="s">
        <v>143</v>
      </c>
      <c r="F12" s="176" t="s">
        <v>144</v>
      </c>
      <c r="G12" s="176" t="s">
        <v>13</v>
      </c>
      <c r="H12" s="176" t="s">
        <v>88</v>
      </c>
      <c r="I12" s="176" t="s">
        <v>12</v>
      </c>
      <c r="J12" s="176" t="s">
        <v>150</v>
      </c>
      <c r="K12" s="176" t="s">
        <v>151</v>
      </c>
      <c r="L12" s="176" t="s">
        <v>157</v>
      </c>
      <c r="M12" s="176" t="s">
        <v>149</v>
      </c>
      <c r="N12" s="176" t="s">
        <v>154</v>
      </c>
      <c r="O12" s="176" t="s">
        <v>205</v>
      </c>
    </row>
    <row r="13" spans="1:15" ht="15" x14ac:dyDescent="0.25">
      <c r="A13" s="184" t="s">
        <v>197</v>
      </c>
      <c r="B13" s="184"/>
      <c r="C13" s="185"/>
      <c r="D13" s="185"/>
      <c r="E13" s="184"/>
      <c r="F13" s="184"/>
      <c r="G13" s="184"/>
      <c r="H13" s="184"/>
      <c r="I13" s="184"/>
      <c r="J13" s="184"/>
      <c r="K13" s="184"/>
      <c r="L13" s="184"/>
      <c r="M13" s="184"/>
      <c r="N13" s="184"/>
      <c r="O13" s="186"/>
    </row>
    <row r="14" spans="1:15" ht="30" x14ac:dyDescent="0.25">
      <c r="A14" s="90" t="s">
        <v>84</v>
      </c>
      <c r="B14" s="91" t="s">
        <v>7</v>
      </c>
      <c r="C14" s="91" t="s">
        <v>238</v>
      </c>
      <c r="D14" s="91" t="s">
        <v>239</v>
      </c>
      <c r="E14" s="329" t="s">
        <v>32</v>
      </c>
      <c r="F14" s="328" t="s">
        <v>45</v>
      </c>
      <c r="G14" s="91" t="s">
        <v>22</v>
      </c>
      <c r="H14" s="93">
        <v>41090</v>
      </c>
      <c r="I14" s="91" t="s">
        <v>176</v>
      </c>
      <c r="J14" s="96">
        <v>33.99</v>
      </c>
      <c r="K14" s="96">
        <v>27.92</v>
      </c>
      <c r="L14" s="96">
        <v>6.07</v>
      </c>
      <c r="M14" s="289"/>
      <c r="N14" s="289"/>
      <c r="O14" s="289"/>
    </row>
    <row r="15" spans="1:15" ht="30" x14ac:dyDescent="0.25">
      <c r="A15" s="82" t="s">
        <v>8</v>
      </c>
      <c r="B15" s="83" t="s">
        <v>7</v>
      </c>
      <c r="C15" s="83" t="s">
        <v>238</v>
      </c>
      <c r="D15" s="83" t="s">
        <v>239</v>
      </c>
      <c r="E15" s="327" t="s">
        <v>32</v>
      </c>
      <c r="F15" s="327" t="s">
        <v>45</v>
      </c>
      <c r="G15" s="83" t="s">
        <v>22</v>
      </c>
      <c r="H15" s="85">
        <v>41455</v>
      </c>
      <c r="I15" s="83" t="s">
        <v>131</v>
      </c>
      <c r="J15" s="88">
        <v>26.13</v>
      </c>
      <c r="K15" s="88">
        <v>0</v>
      </c>
      <c r="L15" s="88">
        <v>26.13</v>
      </c>
      <c r="M15" s="288"/>
      <c r="N15" s="288"/>
      <c r="O15" s="288"/>
    </row>
    <row r="16" spans="1:15" ht="30" x14ac:dyDescent="0.25">
      <c r="A16" s="90" t="s">
        <v>8</v>
      </c>
      <c r="B16" s="91" t="s">
        <v>193</v>
      </c>
      <c r="C16" s="91" t="s">
        <v>238</v>
      </c>
      <c r="D16" s="91" t="s">
        <v>239</v>
      </c>
      <c r="E16" s="329" t="s">
        <v>32</v>
      </c>
      <c r="F16" s="328" t="s">
        <v>45</v>
      </c>
      <c r="G16" s="91" t="s">
        <v>22</v>
      </c>
      <c r="H16" s="93">
        <v>41820</v>
      </c>
      <c r="I16" s="91" t="s">
        <v>132</v>
      </c>
      <c r="J16" s="96">
        <v>15.87</v>
      </c>
      <c r="K16" s="96">
        <v>0</v>
      </c>
      <c r="L16" s="96">
        <v>15.87</v>
      </c>
      <c r="M16" s="289"/>
      <c r="N16" s="289"/>
      <c r="O16" s="289"/>
    </row>
    <row r="17" spans="1:15" ht="30" x14ac:dyDescent="0.25">
      <c r="A17" s="82" t="s">
        <v>8</v>
      </c>
      <c r="B17" s="83" t="s">
        <v>193</v>
      </c>
      <c r="C17" s="83" t="s">
        <v>238</v>
      </c>
      <c r="D17" s="83" t="s">
        <v>239</v>
      </c>
      <c r="E17" s="327" t="s">
        <v>32</v>
      </c>
      <c r="F17" s="327" t="s">
        <v>45</v>
      </c>
      <c r="G17" s="91" t="s">
        <v>22</v>
      </c>
      <c r="H17" s="85">
        <v>42185</v>
      </c>
      <c r="I17" s="83" t="s">
        <v>133</v>
      </c>
      <c r="J17" s="278">
        <v>8.33</v>
      </c>
      <c r="K17" s="278">
        <v>0</v>
      </c>
      <c r="L17" s="278">
        <v>8.33</v>
      </c>
      <c r="M17" s="288"/>
      <c r="N17" s="288"/>
      <c r="O17" s="288"/>
    </row>
    <row r="18" spans="1:15" ht="15" x14ac:dyDescent="0.25">
      <c r="A18" s="181"/>
      <c r="B18" s="181"/>
      <c r="C18" s="181"/>
      <c r="D18" s="181"/>
      <c r="E18" s="182"/>
      <c r="F18" s="181"/>
      <c r="G18" s="181"/>
      <c r="H18" s="183" t="s">
        <v>206</v>
      </c>
      <c r="I18" s="181"/>
      <c r="J18" s="290">
        <f>SUM(J14:J17)</f>
        <v>84.320000000000007</v>
      </c>
      <c r="K18" s="290">
        <f>SUM(K14:K17)</f>
        <v>27.92</v>
      </c>
      <c r="L18" s="290">
        <f>SUM(L14:L17)</f>
        <v>56.4</v>
      </c>
      <c r="M18" s="290">
        <f>+L18-N18</f>
        <v>36.68</v>
      </c>
      <c r="N18" s="290">
        <v>19.72</v>
      </c>
      <c r="O18" s="290">
        <v>35</v>
      </c>
    </row>
    <row r="19" spans="1:15" ht="15" x14ac:dyDescent="0.25">
      <c r="A19" s="184" t="s">
        <v>198</v>
      </c>
      <c r="B19" s="184"/>
      <c r="C19" s="185"/>
      <c r="D19" s="185"/>
      <c r="E19" s="184"/>
      <c r="F19" s="184"/>
      <c r="G19" s="184"/>
      <c r="H19" s="184"/>
      <c r="I19" s="184"/>
      <c r="J19" s="184"/>
      <c r="K19" s="184"/>
      <c r="L19" s="184"/>
      <c r="M19" s="184"/>
      <c r="N19" s="184"/>
      <c r="O19" s="186"/>
    </row>
    <row r="20" spans="1:15" ht="30" x14ac:dyDescent="0.25">
      <c r="A20" s="82" t="s">
        <v>8</v>
      </c>
      <c r="B20" s="83" t="s">
        <v>7</v>
      </c>
      <c r="C20" s="83" t="s">
        <v>27</v>
      </c>
      <c r="D20" s="83" t="s">
        <v>127</v>
      </c>
      <c r="E20" s="84" t="s">
        <v>33</v>
      </c>
      <c r="F20" s="84" t="s">
        <v>45</v>
      </c>
      <c r="G20" s="83" t="s">
        <v>22</v>
      </c>
      <c r="H20" s="85">
        <v>41090</v>
      </c>
      <c r="I20" s="83" t="s">
        <v>135</v>
      </c>
      <c r="J20" s="88">
        <v>6.571148</v>
      </c>
      <c r="K20" s="88">
        <v>4.2859263499999996</v>
      </c>
      <c r="L20" s="88">
        <v>2.2852216500000004</v>
      </c>
      <c r="M20" s="288"/>
      <c r="N20" s="288"/>
      <c r="O20" s="288"/>
    </row>
    <row r="21" spans="1:15" ht="30" x14ac:dyDescent="0.25">
      <c r="A21" s="90" t="s">
        <v>8</v>
      </c>
      <c r="B21" s="91" t="s">
        <v>7</v>
      </c>
      <c r="C21" s="91" t="s">
        <v>92</v>
      </c>
      <c r="D21" s="91" t="s">
        <v>128</v>
      </c>
      <c r="E21" s="92" t="s">
        <v>33</v>
      </c>
      <c r="F21" s="91" t="s">
        <v>44</v>
      </c>
      <c r="G21" s="91" t="s">
        <v>22</v>
      </c>
      <c r="H21" s="93">
        <v>41090</v>
      </c>
      <c r="I21" s="91" t="s">
        <v>136</v>
      </c>
      <c r="J21" s="96">
        <v>0.25278499999999998</v>
      </c>
      <c r="K21" s="96">
        <v>0.25278459499999995</v>
      </c>
      <c r="L21" s="96">
        <v>4.0500000003662606E-7</v>
      </c>
      <c r="M21" s="289"/>
      <c r="N21" s="289"/>
      <c r="O21" s="289"/>
    </row>
    <row r="22" spans="1:15" ht="30" x14ac:dyDescent="0.25">
      <c r="A22" s="82" t="s">
        <v>8</v>
      </c>
      <c r="B22" s="83" t="s">
        <v>7</v>
      </c>
      <c r="C22" s="83" t="s">
        <v>27</v>
      </c>
      <c r="D22" s="83" t="s">
        <v>127</v>
      </c>
      <c r="E22" s="84" t="s">
        <v>33</v>
      </c>
      <c r="F22" s="84" t="s">
        <v>45</v>
      </c>
      <c r="G22" s="83" t="s">
        <v>22</v>
      </c>
      <c r="H22" s="85">
        <v>41455</v>
      </c>
      <c r="I22" s="83" t="s">
        <v>137</v>
      </c>
      <c r="J22" s="88">
        <v>5.2490870000000003</v>
      </c>
      <c r="K22" s="88">
        <v>0</v>
      </c>
      <c r="L22" s="88">
        <v>5.2490870000000003</v>
      </c>
      <c r="M22" s="288"/>
      <c r="N22" s="288"/>
      <c r="O22" s="288"/>
    </row>
    <row r="23" spans="1:15" ht="30" x14ac:dyDescent="0.25">
      <c r="A23" s="90" t="s">
        <v>84</v>
      </c>
      <c r="B23" s="91" t="s">
        <v>7</v>
      </c>
      <c r="C23" s="91" t="s">
        <v>92</v>
      </c>
      <c r="D23" s="91" t="s">
        <v>128</v>
      </c>
      <c r="E23" s="92" t="s">
        <v>33</v>
      </c>
      <c r="F23" s="91" t="s">
        <v>44</v>
      </c>
      <c r="G23" s="91" t="s">
        <v>22</v>
      </c>
      <c r="H23" s="93">
        <v>41455</v>
      </c>
      <c r="I23" s="91" t="s">
        <v>137</v>
      </c>
      <c r="J23" s="96">
        <v>2.6345E-2</v>
      </c>
      <c r="K23" s="96">
        <v>0</v>
      </c>
      <c r="L23" s="96">
        <v>2.6345E-2</v>
      </c>
      <c r="M23" s="289"/>
      <c r="N23" s="289"/>
      <c r="O23" s="289"/>
    </row>
    <row r="24" spans="1:15" ht="30" x14ac:dyDescent="0.25">
      <c r="A24" s="82" t="s">
        <v>84</v>
      </c>
      <c r="B24" s="83" t="s">
        <v>7</v>
      </c>
      <c r="C24" s="83" t="s">
        <v>27</v>
      </c>
      <c r="D24" s="83" t="s">
        <v>127</v>
      </c>
      <c r="E24" s="84" t="s">
        <v>33</v>
      </c>
      <c r="F24" s="84" t="s">
        <v>45</v>
      </c>
      <c r="G24" s="83" t="s">
        <v>22</v>
      </c>
      <c r="H24" s="85">
        <v>41820</v>
      </c>
      <c r="I24" s="83" t="s">
        <v>138</v>
      </c>
      <c r="J24" s="88">
        <v>0.92112799999999995</v>
      </c>
      <c r="K24" s="88">
        <v>0</v>
      </c>
      <c r="L24" s="88">
        <v>0.92112799999999995</v>
      </c>
      <c r="M24" s="288"/>
      <c r="N24" s="288"/>
      <c r="O24" s="288"/>
    </row>
    <row r="25" spans="1:15" ht="30" x14ac:dyDescent="0.25">
      <c r="A25" s="90" t="s">
        <v>8</v>
      </c>
      <c r="B25" s="91" t="s">
        <v>7</v>
      </c>
      <c r="C25" s="91" t="s">
        <v>92</v>
      </c>
      <c r="D25" s="91" t="s">
        <v>128</v>
      </c>
      <c r="E25" s="92" t="s">
        <v>33</v>
      </c>
      <c r="F25" s="91" t="s">
        <v>44</v>
      </c>
      <c r="G25" s="91" t="s">
        <v>22</v>
      </c>
      <c r="H25" s="93">
        <v>41820</v>
      </c>
      <c r="I25" s="91" t="s">
        <v>138</v>
      </c>
      <c r="J25" s="96">
        <v>0.21435199999999999</v>
      </c>
      <c r="K25" s="96">
        <v>0</v>
      </c>
      <c r="L25" s="96">
        <v>0.21435199999999999</v>
      </c>
      <c r="M25" s="289"/>
      <c r="N25" s="289"/>
      <c r="O25" s="289"/>
    </row>
    <row r="26" spans="1:15" ht="30" x14ac:dyDescent="0.25">
      <c r="A26" s="82" t="s">
        <v>8</v>
      </c>
      <c r="B26" s="83" t="s">
        <v>7</v>
      </c>
      <c r="C26" s="83"/>
      <c r="D26" s="83"/>
      <c r="E26" s="84"/>
      <c r="F26" s="84"/>
      <c r="G26" s="83"/>
      <c r="H26" s="85"/>
      <c r="I26" s="83" t="s">
        <v>139</v>
      </c>
      <c r="J26" s="88">
        <v>0</v>
      </c>
      <c r="K26" s="88">
        <v>0</v>
      </c>
      <c r="L26" s="88">
        <v>0</v>
      </c>
      <c r="M26" s="288"/>
      <c r="N26" s="288"/>
      <c r="O26" s="288"/>
    </row>
    <row r="27" spans="1:15" ht="30" x14ac:dyDescent="0.25">
      <c r="A27" s="90" t="s">
        <v>8</v>
      </c>
      <c r="B27" s="91" t="s">
        <v>7</v>
      </c>
      <c r="C27" s="91"/>
      <c r="D27" s="91"/>
      <c r="E27" s="92"/>
      <c r="F27" s="91"/>
      <c r="G27" s="91"/>
      <c r="H27" s="93"/>
      <c r="I27" s="91" t="s">
        <v>139</v>
      </c>
      <c r="J27" s="326">
        <v>0</v>
      </c>
      <c r="K27" s="326">
        <v>0</v>
      </c>
      <c r="L27" s="326">
        <v>0</v>
      </c>
      <c r="M27" s="291"/>
      <c r="N27" s="291"/>
      <c r="O27" s="291"/>
    </row>
    <row r="28" spans="1:15" ht="15" x14ac:dyDescent="0.25">
      <c r="A28" s="181"/>
      <c r="B28" s="181"/>
      <c r="C28" s="181"/>
      <c r="D28" s="181"/>
      <c r="E28" s="182"/>
      <c r="F28" s="181"/>
      <c r="G28" s="181"/>
      <c r="H28" s="183" t="s">
        <v>206</v>
      </c>
      <c r="I28" s="181"/>
      <c r="J28" s="290">
        <f>SUM(J20:J27)</f>
        <v>13.234844999999998</v>
      </c>
      <c r="K28" s="290">
        <f>SUM(K20:K27)</f>
        <v>4.5387109449999992</v>
      </c>
      <c r="L28" s="290">
        <f>SUM(L20:L27)</f>
        <v>8.6961340550000017</v>
      </c>
      <c r="M28" s="290">
        <f>+L28-N28</f>
        <v>7.096134055000002</v>
      </c>
      <c r="N28" s="290">
        <v>1.6</v>
      </c>
      <c r="O28" s="290"/>
    </row>
    <row r="29" spans="1:15" ht="15" x14ac:dyDescent="0.25">
      <c r="A29" s="901" t="s">
        <v>202</v>
      </c>
      <c r="B29" s="902"/>
      <c r="C29" s="902"/>
      <c r="D29" s="902"/>
      <c r="E29" s="902"/>
      <c r="F29" s="902"/>
      <c r="G29" s="902"/>
      <c r="H29" s="902"/>
      <c r="I29" s="902"/>
      <c r="J29" s="902"/>
      <c r="K29" s="902"/>
      <c r="L29" s="902"/>
      <c r="M29" s="902"/>
      <c r="N29" s="902"/>
      <c r="O29" s="903"/>
    </row>
    <row r="30" spans="1:15" ht="60" x14ac:dyDescent="0.25">
      <c r="A30" s="176" t="s">
        <v>89</v>
      </c>
      <c r="B30" s="176" t="s">
        <v>90</v>
      </c>
      <c r="C30" s="177" t="s">
        <v>0</v>
      </c>
      <c r="D30" s="177" t="s">
        <v>124</v>
      </c>
      <c r="E30" s="176" t="s">
        <v>143</v>
      </c>
      <c r="F30" s="176" t="s">
        <v>144</v>
      </c>
      <c r="G30" s="176" t="s">
        <v>13</v>
      </c>
      <c r="H30" s="176" t="s">
        <v>88</v>
      </c>
      <c r="I30" s="176" t="s">
        <v>12</v>
      </c>
      <c r="J30" s="176" t="s">
        <v>200</v>
      </c>
      <c r="K30" s="176" t="s">
        <v>199</v>
      </c>
      <c r="L30" s="176" t="s">
        <v>201</v>
      </c>
      <c r="M30" s="176" t="s">
        <v>149</v>
      </c>
      <c r="N30" s="176" t="s">
        <v>154</v>
      </c>
      <c r="O30" s="176" t="s">
        <v>205</v>
      </c>
    </row>
    <row r="31" spans="1:15" ht="30" x14ac:dyDescent="0.25">
      <c r="A31" s="90" t="s">
        <v>84</v>
      </c>
      <c r="B31" s="91" t="s">
        <v>9</v>
      </c>
      <c r="C31" s="91" t="s">
        <v>183</v>
      </c>
      <c r="D31" s="91" t="s">
        <v>142</v>
      </c>
      <c r="E31" s="92" t="s">
        <v>142</v>
      </c>
      <c r="F31" s="91" t="s">
        <v>142</v>
      </c>
      <c r="G31" s="91" t="s">
        <v>22</v>
      </c>
      <c r="H31" s="93">
        <v>41449</v>
      </c>
      <c r="I31" s="91" t="s">
        <v>172</v>
      </c>
      <c r="J31" s="292">
        <v>7.0349999999999996E-2</v>
      </c>
      <c r="K31" s="292" t="s">
        <v>10</v>
      </c>
      <c r="L31" s="292">
        <v>7.0349999999999996E-2</v>
      </c>
      <c r="M31" s="292">
        <f>0.0665</f>
        <v>6.6500000000000004E-2</v>
      </c>
      <c r="N31" s="292">
        <f>IF(M31-L31&lt;0,0,M31-L31)</f>
        <v>0</v>
      </c>
      <c r="O31" s="292"/>
    </row>
    <row r="32" spans="1:15" ht="15" x14ac:dyDescent="0.25">
      <c r="A32" s="98"/>
      <c r="B32" s="77"/>
      <c r="C32" s="77"/>
      <c r="D32" s="77"/>
      <c r="E32" s="77"/>
      <c r="F32" s="77"/>
      <c r="G32" s="77"/>
      <c r="H32" s="77"/>
      <c r="I32" s="77"/>
      <c r="J32" s="144"/>
      <c r="K32" s="144"/>
      <c r="L32" s="144"/>
      <c r="M32" s="144"/>
      <c r="N32" s="144"/>
      <c r="O32" s="144"/>
    </row>
    <row r="33" spans="1:15" ht="15" x14ac:dyDescent="0.25">
      <c r="A33" s="77"/>
      <c r="B33" s="77"/>
      <c r="C33" s="77"/>
      <c r="D33" s="77"/>
      <c r="E33" s="77"/>
      <c r="F33" s="77"/>
      <c r="G33" s="77"/>
      <c r="H33" s="77"/>
      <c r="I33" s="77"/>
      <c r="J33" s="77"/>
      <c r="K33" s="77"/>
      <c r="L33" s="77"/>
      <c r="M33" s="77"/>
      <c r="N33" s="77"/>
      <c r="O33" s="77"/>
    </row>
    <row r="34" spans="1:15" ht="15" x14ac:dyDescent="0.25">
      <c r="A34" s="77"/>
      <c r="B34" s="77"/>
      <c r="C34" s="77"/>
      <c r="D34" s="77"/>
      <c r="E34" s="77"/>
      <c r="F34" s="77"/>
      <c r="G34" s="77"/>
      <c r="H34" s="77"/>
      <c r="I34" s="77"/>
      <c r="J34" s="77"/>
      <c r="K34" s="77"/>
      <c r="L34" s="77"/>
      <c r="M34" s="77"/>
      <c r="N34" s="77"/>
      <c r="O34" s="77"/>
    </row>
    <row r="35" spans="1:15" ht="15" x14ac:dyDescent="0.25">
      <c r="A35" s="77"/>
      <c r="B35" s="77"/>
      <c r="C35" s="77"/>
      <c r="D35" s="77"/>
      <c r="E35" s="77"/>
      <c r="F35" s="77"/>
      <c r="G35" s="77"/>
      <c r="H35" s="77"/>
      <c r="I35" s="77"/>
      <c r="J35" s="77"/>
      <c r="K35" s="77"/>
      <c r="L35" s="77"/>
      <c r="M35" s="77"/>
      <c r="N35" s="77"/>
      <c r="O35" s="77"/>
    </row>
    <row r="36" spans="1:15" ht="15" x14ac:dyDescent="0.25">
      <c r="A36" s="77"/>
      <c r="B36" s="77"/>
      <c r="C36" s="77"/>
      <c r="D36" s="77"/>
      <c r="E36" s="77"/>
      <c r="F36" s="77"/>
      <c r="G36" s="77"/>
      <c r="H36" s="77"/>
      <c r="I36" s="77"/>
      <c r="J36" s="77"/>
      <c r="K36" s="77"/>
      <c r="L36" s="77"/>
      <c r="M36" s="77"/>
      <c r="N36" s="77"/>
      <c r="O36" s="77"/>
    </row>
    <row r="37" spans="1:15" ht="15" x14ac:dyDescent="0.25">
      <c r="A37" s="77"/>
      <c r="B37" s="77"/>
      <c r="C37" s="77"/>
      <c r="D37" s="77"/>
      <c r="E37" s="77"/>
      <c r="F37" s="77"/>
      <c r="G37" s="77"/>
      <c r="H37" s="77"/>
      <c r="I37" s="77"/>
      <c r="J37" s="77"/>
      <c r="K37" s="77"/>
      <c r="L37" s="77"/>
      <c r="M37" s="77"/>
      <c r="N37" s="77"/>
      <c r="O37" s="77"/>
    </row>
    <row r="38" spans="1:15" ht="15" x14ac:dyDescent="0.25">
      <c r="A38" s="77"/>
      <c r="B38" s="77"/>
      <c r="C38" s="77"/>
      <c r="D38" s="77"/>
      <c r="E38" s="77"/>
      <c r="F38" s="77"/>
      <c r="G38" s="77"/>
      <c r="H38" s="77"/>
      <c r="I38" s="77"/>
      <c r="J38" s="77"/>
      <c r="K38" s="77"/>
      <c r="L38" s="77"/>
      <c r="M38" s="77"/>
      <c r="N38" s="77"/>
      <c r="O38" s="77"/>
    </row>
    <row r="39" spans="1:15" ht="15" x14ac:dyDescent="0.25">
      <c r="A39" s="77"/>
      <c r="B39" s="77"/>
      <c r="C39" s="77"/>
      <c r="D39" s="77"/>
      <c r="E39" s="77"/>
      <c r="F39" s="77"/>
      <c r="G39" s="77"/>
      <c r="H39" s="77"/>
      <c r="I39" s="77"/>
      <c r="J39" s="77"/>
      <c r="K39" s="77"/>
      <c r="L39" s="77"/>
      <c r="M39" s="77"/>
      <c r="N39" s="77"/>
      <c r="O39" s="77"/>
    </row>
    <row r="40" spans="1:15" ht="15" x14ac:dyDescent="0.25">
      <c r="A40" s="77"/>
      <c r="B40" s="77"/>
      <c r="C40" s="77"/>
      <c r="D40" s="77"/>
      <c r="E40" s="77"/>
      <c r="F40" s="77"/>
      <c r="G40" s="77"/>
      <c r="H40" s="77"/>
      <c r="I40" s="77"/>
      <c r="J40" s="77"/>
      <c r="K40" s="77"/>
      <c r="L40" s="77"/>
      <c r="M40" s="77"/>
      <c r="N40" s="77"/>
      <c r="O40" s="77"/>
    </row>
    <row r="41" spans="1:15" ht="15.6" thickBot="1" x14ac:dyDescent="0.3">
      <c r="A41" s="904"/>
      <c r="B41" s="904"/>
      <c r="C41" s="904"/>
      <c r="D41" s="904"/>
      <c r="E41" s="904"/>
      <c r="F41" s="904"/>
      <c r="G41" s="904"/>
      <c r="H41" s="904"/>
      <c r="I41" s="904"/>
      <c r="J41" s="904"/>
      <c r="K41" s="904"/>
      <c r="L41" s="904"/>
      <c r="M41" s="904"/>
      <c r="N41" s="904"/>
      <c r="O41" s="904"/>
    </row>
    <row r="42" spans="1:15" ht="15.6" x14ac:dyDescent="0.3">
      <c r="A42" s="905"/>
      <c r="B42" s="905"/>
      <c r="C42" s="905"/>
      <c r="D42" s="905"/>
      <c r="E42" s="905"/>
      <c r="F42" s="905"/>
      <c r="G42" s="77"/>
      <c r="H42" s="77"/>
      <c r="I42" s="77"/>
      <c r="J42" s="77"/>
      <c r="K42" s="77"/>
      <c r="L42" s="77"/>
      <c r="M42" s="77"/>
      <c r="N42" s="77"/>
      <c r="O42" s="77"/>
    </row>
    <row r="43" spans="1:15" ht="15.6" x14ac:dyDescent="0.3">
      <c r="A43" s="202"/>
      <c r="B43" s="203"/>
      <c r="C43" s="203"/>
      <c r="D43" s="202"/>
      <c r="E43" s="202"/>
      <c r="F43" s="202"/>
      <c r="G43" s="77"/>
      <c r="H43" s="203"/>
      <c r="I43" s="77"/>
      <c r="J43" s="77"/>
      <c r="K43" s="77"/>
      <c r="L43" s="77"/>
      <c r="M43" s="77"/>
      <c r="N43" s="77"/>
      <c r="O43" s="77"/>
    </row>
    <row r="44" spans="1:15" ht="15" x14ac:dyDescent="0.25">
      <c r="A44" s="168"/>
      <c r="B44" s="168"/>
      <c r="C44" s="168"/>
      <c r="D44" s="168"/>
      <c r="E44" s="168"/>
      <c r="F44" s="168"/>
      <c r="G44" s="77"/>
      <c r="H44" s="77"/>
      <c r="I44" s="77"/>
      <c r="J44" s="77"/>
      <c r="K44" s="77"/>
      <c r="L44" s="77"/>
      <c r="M44" s="77"/>
      <c r="N44" s="77"/>
      <c r="O44" s="77"/>
    </row>
    <row r="45" spans="1:15" ht="15" x14ac:dyDescent="0.25">
      <c r="A45" s="211"/>
      <c r="B45" s="204"/>
      <c r="C45" s="204"/>
      <c r="D45" s="204"/>
      <c r="E45" s="204"/>
      <c r="F45" s="205"/>
      <c r="G45" s="77"/>
      <c r="H45" s="144"/>
      <c r="I45" s="77"/>
      <c r="J45" s="77"/>
      <c r="K45" s="77"/>
      <c r="L45" s="77"/>
      <c r="M45" s="77"/>
      <c r="N45" s="77"/>
      <c r="O45" s="77"/>
    </row>
    <row r="46" spans="1:15" ht="15" x14ac:dyDescent="0.25">
      <c r="A46" s="211"/>
      <c r="B46" s="204"/>
      <c r="C46" s="204"/>
      <c r="D46" s="204"/>
      <c r="E46" s="204"/>
      <c r="F46" s="205"/>
      <c r="G46" s="77"/>
      <c r="H46" s="77"/>
      <c r="I46" s="77"/>
      <c r="J46" s="77"/>
      <c r="K46" s="77"/>
      <c r="L46" s="77"/>
      <c r="M46" s="77"/>
      <c r="N46" s="77"/>
      <c r="O46" s="77"/>
    </row>
    <row r="47" spans="1:15" ht="15" x14ac:dyDescent="0.25">
      <c r="A47" s="168"/>
      <c r="B47" s="204"/>
      <c r="C47" s="204"/>
      <c r="D47" s="204"/>
      <c r="E47" s="204"/>
      <c r="F47" s="205"/>
      <c r="G47" s="77"/>
      <c r="H47" s="144"/>
      <c r="I47" s="77"/>
      <c r="J47" s="77"/>
      <c r="K47" s="77"/>
      <c r="L47" s="77"/>
      <c r="M47" s="77"/>
      <c r="N47" s="77"/>
      <c r="O47" s="77"/>
    </row>
    <row r="48" spans="1:15" ht="15" x14ac:dyDescent="0.25">
      <c r="A48" s="211"/>
      <c r="B48" s="204"/>
      <c r="C48" s="204"/>
      <c r="D48" s="204"/>
      <c r="E48" s="204"/>
      <c r="F48" s="205"/>
      <c r="G48" s="77"/>
      <c r="H48" s="144"/>
      <c r="I48" s="77"/>
      <c r="J48" s="77"/>
      <c r="K48" s="77"/>
      <c r="L48" s="77"/>
      <c r="M48" s="77"/>
      <c r="N48" s="77"/>
      <c r="O48" s="77"/>
    </row>
    <row r="49" spans="1:15" ht="15" x14ac:dyDescent="0.25">
      <c r="A49" s="168"/>
      <c r="B49" s="204"/>
      <c r="C49" s="204"/>
      <c r="D49" s="204"/>
      <c r="E49" s="204"/>
      <c r="F49" s="205"/>
      <c r="G49" s="77"/>
      <c r="H49" s="144"/>
      <c r="I49" s="77"/>
      <c r="J49" s="77"/>
      <c r="K49" s="77"/>
      <c r="L49" s="77"/>
      <c r="M49" s="77"/>
      <c r="N49" s="77"/>
      <c r="O49" s="77"/>
    </row>
    <row r="50" spans="1:15" ht="15" x14ac:dyDescent="0.25">
      <c r="A50" s="168"/>
      <c r="B50" s="204"/>
      <c r="C50" s="204"/>
      <c r="D50" s="204"/>
      <c r="E50" s="204"/>
      <c r="F50" s="205"/>
      <c r="G50" s="77"/>
      <c r="H50" s="144"/>
      <c r="I50" s="77"/>
      <c r="J50" s="77"/>
      <c r="K50" s="77"/>
      <c r="L50" s="77"/>
      <c r="M50" s="77"/>
      <c r="N50" s="77"/>
      <c r="O50" s="77"/>
    </row>
    <row r="51" spans="1:15" ht="16.8" x14ac:dyDescent="0.4">
      <c r="A51" s="168"/>
      <c r="B51" s="206"/>
      <c r="C51" s="206"/>
      <c r="D51" s="206"/>
      <c r="E51" s="206"/>
      <c r="F51" s="207"/>
      <c r="G51" s="77"/>
      <c r="H51" s="212"/>
      <c r="I51" s="77"/>
      <c r="J51" s="77"/>
      <c r="K51" s="77"/>
      <c r="L51" s="77"/>
      <c r="M51" s="77"/>
      <c r="N51" s="77"/>
      <c r="O51" s="77"/>
    </row>
    <row r="52" spans="1:15" ht="16.8" x14ac:dyDescent="0.4">
      <c r="A52" s="168"/>
      <c r="B52" s="209"/>
      <c r="C52" s="209"/>
      <c r="D52" s="209"/>
      <c r="E52" s="209"/>
      <c r="F52" s="210"/>
      <c r="G52" s="77"/>
      <c r="H52" s="208"/>
      <c r="I52" s="77"/>
      <c r="J52" s="77"/>
      <c r="K52" s="77"/>
      <c r="L52" s="77"/>
      <c r="M52" s="77"/>
      <c r="N52" s="77"/>
      <c r="O52" s="77"/>
    </row>
    <row r="53" spans="1:15" ht="15" x14ac:dyDescent="0.25">
      <c r="A53" s="168"/>
      <c r="B53" s="168"/>
      <c r="C53" s="168"/>
      <c r="D53" s="168"/>
      <c r="E53" s="168"/>
      <c r="F53" s="168"/>
      <c r="G53" s="77"/>
      <c r="H53" s="77"/>
      <c r="I53" s="77"/>
      <c r="J53" s="77"/>
      <c r="K53" s="77"/>
      <c r="L53" s="77"/>
      <c r="M53" s="77"/>
      <c r="N53" s="77"/>
      <c r="O53" s="77"/>
    </row>
    <row r="54" spans="1:15" ht="15" x14ac:dyDescent="0.25">
      <c r="A54" s="77"/>
      <c r="B54" s="77"/>
      <c r="C54" s="77"/>
      <c r="D54" s="77"/>
      <c r="E54" s="77"/>
      <c r="F54" s="77"/>
      <c r="G54" s="77"/>
      <c r="H54" s="77"/>
      <c r="I54" s="77"/>
      <c r="J54" s="77"/>
      <c r="K54" s="77"/>
      <c r="L54" s="77"/>
      <c r="M54" s="77"/>
      <c r="N54" s="77"/>
      <c r="O54" s="77"/>
    </row>
    <row r="55" spans="1:15" ht="15" x14ac:dyDescent="0.25">
      <c r="A55" s="77"/>
      <c r="B55" s="77"/>
      <c r="C55" s="77"/>
      <c r="D55" s="77"/>
      <c r="E55" s="77"/>
      <c r="F55" s="77"/>
      <c r="G55" s="77"/>
      <c r="H55" s="77"/>
      <c r="I55" s="77"/>
      <c r="J55" s="77"/>
      <c r="K55" s="77"/>
      <c r="L55" s="77"/>
      <c r="M55" s="77"/>
      <c r="N55" s="77"/>
      <c r="O55" s="77"/>
    </row>
    <row r="56" spans="1:15" ht="15" x14ac:dyDescent="0.25">
      <c r="A56" s="77"/>
      <c r="B56" s="77"/>
      <c r="C56" s="77"/>
      <c r="D56" s="77"/>
      <c r="E56" s="77"/>
      <c r="F56" s="77"/>
      <c r="G56" s="77"/>
      <c r="H56" s="77"/>
      <c r="I56" s="77"/>
      <c r="J56" s="77"/>
      <c r="K56" s="77"/>
      <c r="L56" s="77"/>
      <c r="M56" s="77"/>
      <c r="N56" s="77"/>
      <c r="O56" s="77"/>
    </row>
    <row r="57" spans="1:15" ht="15" x14ac:dyDescent="0.25">
      <c r="A57" s="77"/>
      <c r="B57" s="77"/>
      <c r="C57" s="77"/>
      <c r="D57" s="77"/>
      <c r="E57" s="77"/>
      <c r="F57" s="77"/>
      <c r="G57" s="77"/>
      <c r="H57" s="77"/>
      <c r="I57" s="77"/>
      <c r="J57" s="77"/>
      <c r="K57" s="77"/>
      <c r="L57" s="77"/>
      <c r="M57" s="77"/>
      <c r="N57" s="77"/>
      <c r="O57" s="77"/>
    </row>
    <row r="58" spans="1:15" ht="15" x14ac:dyDescent="0.25">
      <c r="A58" s="77"/>
      <c r="B58" s="77"/>
      <c r="C58" s="77"/>
      <c r="D58" s="77"/>
      <c r="E58" s="77"/>
      <c r="F58" s="77"/>
      <c r="G58" s="77"/>
      <c r="H58" s="77"/>
      <c r="I58" s="77"/>
      <c r="J58" s="77"/>
      <c r="K58" s="77"/>
      <c r="L58" s="77"/>
      <c r="M58" s="77"/>
      <c r="N58" s="77"/>
      <c r="O58" s="77"/>
    </row>
    <row r="59" spans="1:15" ht="15" x14ac:dyDescent="0.25">
      <c r="A59" s="77"/>
      <c r="B59" s="77"/>
      <c r="C59" s="77"/>
      <c r="D59" s="77"/>
      <c r="E59" s="77"/>
      <c r="F59" s="77"/>
      <c r="G59" s="77"/>
      <c r="H59" s="77"/>
      <c r="I59" s="77"/>
      <c r="J59" s="77"/>
      <c r="K59" s="77"/>
      <c r="L59" s="77"/>
      <c r="M59" s="77"/>
      <c r="N59" s="77"/>
      <c r="O59" s="77"/>
    </row>
    <row r="60" spans="1:15" ht="15" x14ac:dyDescent="0.25">
      <c r="A60" s="77"/>
      <c r="B60" s="77"/>
      <c r="C60" s="77"/>
      <c r="D60" s="77"/>
      <c r="E60" s="77"/>
      <c r="F60" s="77"/>
      <c r="G60" s="77"/>
      <c r="H60" s="77"/>
      <c r="I60" s="77"/>
      <c r="J60" s="77"/>
      <c r="K60" s="77"/>
      <c r="L60" s="77"/>
      <c r="M60" s="77"/>
      <c r="N60" s="77"/>
      <c r="O60" s="77"/>
    </row>
    <row r="61" spans="1:15" ht="15" x14ac:dyDescent="0.25">
      <c r="A61" s="77"/>
      <c r="B61" s="77"/>
      <c r="C61" s="77"/>
      <c r="D61" s="77"/>
      <c r="E61" s="77"/>
      <c r="F61" s="77"/>
      <c r="G61" s="77"/>
      <c r="H61" s="77"/>
      <c r="I61" s="77"/>
      <c r="J61" s="77"/>
      <c r="K61" s="77"/>
      <c r="L61" s="77"/>
      <c r="M61" s="77"/>
      <c r="N61" s="77"/>
      <c r="O61" s="77"/>
    </row>
    <row r="62" spans="1:15" ht="15" x14ac:dyDescent="0.25">
      <c r="A62" s="77"/>
      <c r="B62" s="77"/>
      <c r="C62" s="77"/>
      <c r="D62" s="77"/>
      <c r="E62" s="77"/>
      <c r="F62" s="77"/>
      <c r="G62" s="77"/>
      <c r="H62" s="77"/>
      <c r="I62" s="77"/>
      <c r="J62" s="77"/>
      <c r="K62" s="77"/>
      <c r="L62" s="77"/>
      <c r="M62" s="77"/>
      <c r="N62" s="77"/>
      <c r="O62" s="77"/>
    </row>
    <row r="63" spans="1:15" ht="15" x14ac:dyDescent="0.25">
      <c r="A63" s="77"/>
      <c r="B63" s="77"/>
      <c r="C63" s="77"/>
      <c r="D63" s="77"/>
      <c r="E63" s="77"/>
      <c r="F63" s="77"/>
      <c r="G63" s="77"/>
      <c r="H63" s="77"/>
      <c r="I63" s="77"/>
      <c r="J63" s="77"/>
      <c r="K63" s="77"/>
      <c r="L63" s="77"/>
      <c r="M63" s="77"/>
      <c r="N63" s="77"/>
      <c r="O63" s="77"/>
    </row>
    <row r="64" spans="1:15" ht="15" x14ac:dyDescent="0.25">
      <c r="A64" s="77"/>
      <c r="B64" s="77"/>
      <c r="C64" s="77"/>
      <c r="D64" s="77"/>
      <c r="E64" s="77"/>
      <c r="F64" s="77"/>
      <c r="G64" s="77"/>
      <c r="H64" s="77"/>
      <c r="I64" s="77"/>
      <c r="J64" s="77"/>
      <c r="K64" s="77"/>
      <c r="L64" s="77"/>
      <c r="M64" s="77"/>
      <c r="N64" s="77"/>
      <c r="O64" s="77"/>
    </row>
    <row r="65" spans="1:15" ht="15" x14ac:dyDescent="0.25">
      <c r="A65" s="77"/>
      <c r="B65" s="77"/>
      <c r="C65" s="77"/>
      <c r="D65" s="77"/>
      <c r="E65" s="77"/>
      <c r="F65" s="77"/>
      <c r="G65" s="77"/>
      <c r="H65" s="77"/>
      <c r="I65" s="77"/>
      <c r="J65" s="77"/>
      <c r="K65" s="77"/>
      <c r="L65" s="77"/>
      <c r="M65" s="77"/>
      <c r="N65" s="77"/>
      <c r="O65" s="77"/>
    </row>
    <row r="66" spans="1:15" ht="15" x14ac:dyDescent="0.25">
      <c r="A66" s="77"/>
      <c r="B66" s="77"/>
      <c r="C66" s="77"/>
      <c r="D66" s="77"/>
      <c r="E66" s="77"/>
      <c r="F66" s="77"/>
      <c r="G66" s="77"/>
      <c r="H66" s="77"/>
      <c r="I66" s="77"/>
      <c r="J66" s="77"/>
      <c r="K66" s="77"/>
      <c r="L66" s="77"/>
      <c r="M66" s="77"/>
      <c r="N66" s="77"/>
      <c r="O66" s="77"/>
    </row>
    <row r="67" spans="1:15" ht="15" x14ac:dyDescent="0.25">
      <c r="A67" s="77"/>
      <c r="B67" s="77"/>
      <c r="C67" s="77"/>
      <c r="D67" s="77"/>
      <c r="E67" s="77"/>
      <c r="F67" s="77"/>
      <c r="G67" s="77"/>
      <c r="H67" s="77"/>
      <c r="I67" s="77"/>
      <c r="J67" s="77"/>
      <c r="K67" s="77"/>
      <c r="L67" s="77"/>
      <c r="M67" s="77"/>
      <c r="N67" s="77"/>
      <c r="O67" s="77"/>
    </row>
    <row r="68" spans="1:15" ht="15" x14ac:dyDescent="0.25">
      <c r="A68" s="77"/>
      <c r="B68" s="77"/>
      <c r="C68" s="77"/>
      <c r="D68" s="77"/>
      <c r="E68" s="77"/>
      <c r="F68" s="77"/>
      <c r="G68" s="77"/>
      <c r="H68" s="77"/>
      <c r="I68" s="77"/>
      <c r="J68" s="77"/>
      <c r="K68" s="77"/>
      <c r="L68" s="77"/>
      <c r="M68" s="77"/>
      <c r="N68" s="77"/>
      <c r="O68" s="77"/>
    </row>
    <row r="69" spans="1:15" ht="15" x14ac:dyDescent="0.25">
      <c r="A69" s="77"/>
      <c r="B69" s="77"/>
      <c r="C69" s="77"/>
      <c r="D69" s="77"/>
      <c r="E69" s="77"/>
      <c r="F69" s="77"/>
      <c r="G69" s="77"/>
      <c r="H69" s="77"/>
      <c r="I69" s="77"/>
      <c r="J69" s="77"/>
      <c r="K69" s="77"/>
      <c r="L69" s="77"/>
      <c r="M69" s="77"/>
      <c r="N69" s="77"/>
      <c r="O69" s="77"/>
    </row>
    <row r="70" spans="1:15" ht="15" x14ac:dyDescent="0.25">
      <c r="A70" s="77"/>
      <c r="B70" s="77"/>
      <c r="C70" s="77"/>
      <c r="D70" s="77"/>
      <c r="E70" s="77"/>
      <c r="F70" s="77"/>
      <c r="G70" s="77"/>
      <c r="H70" s="77"/>
      <c r="I70" s="77"/>
      <c r="J70" s="77"/>
      <c r="K70" s="77"/>
      <c r="L70" s="77"/>
      <c r="M70" s="77"/>
      <c r="N70" s="77"/>
      <c r="O70" s="77"/>
    </row>
    <row r="71" spans="1:15" ht="15" x14ac:dyDescent="0.25">
      <c r="A71" s="77"/>
      <c r="B71" s="77"/>
      <c r="C71" s="77"/>
      <c r="D71" s="77"/>
      <c r="E71" s="77"/>
      <c r="F71" s="77"/>
      <c r="G71" s="77"/>
      <c r="H71" s="77"/>
      <c r="I71" s="77"/>
      <c r="J71" s="77"/>
      <c r="K71" s="77"/>
      <c r="L71" s="77"/>
      <c r="M71" s="77"/>
      <c r="N71" s="77"/>
      <c r="O71" s="77"/>
    </row>
    <row r="72" spans="1:15" ht="15" x14ac:dyDescent="0.25">
      <c r="A72" s="77"/>
      <c r="B72" s="77"/>
      <c r="C72" s="77"/>
      <c r="D72" s="77"/>
      <c r="E72" s="77"/>
      <c r="F72" s="77"/>
      <c r="G72" s="77"/>
      <c r="H72" s="77"/>
      <c r="I72" s="77"/>
      <c r="J72" s="77"/>
      <c r="K72" s="77"/>
      <c r="L72" s="77"/>
      <c r="M72" s="77"/>
      <c r="N72" s="77"/>
      <c r="O72" s="77"/>
    </row>
    <row r="73" spans="1:15" ht="15" x14ac:dyDescent="0.25">
      <c r="A73" s="77"/>
      <c r="B73" s="77"/>
      <c r="C73" s="77"/>
      <c r="D73" s="77"/>
      <c r="E73" s="77"/>
      <c r="F73" s="77"/>
      <c r="G73" s="77"/>
      <c r="H73" s="77"/>
      <c r="I73" s="77"/>
      <c r="J73" s="77"/>
      <c r="K73" s="77"/>
      <c r="L73" s="77"/>
      <c r="M73" s="77"/>
      <c r="N73" s="77"/>
      <c r="O73" s="77"/>
    </row>
    <row r="74" spans="1:15" ht="15" x14ac:dyDescent="0.25">
      <c r="A74" s="77"/>
      <c r="B74" s="77"/>
      <c r="C74" s="77"/>
      <c r="D74" s="77"/>
      <c r="E74" s="77"/>
      <c r="F74" s="77"/>
      <c r="G74" s="77"/>
      <c r="H74" s="77"/>
      <c r="I74" s="77"/>
      <c r="J74" s="77"/>
      <c r="K74" s="77"/>
      <c r="L74" s="77"/>
      <c r="M74" s="77"/>
      <c r="N74" s="77"/>
      <c r="O74" s="77"/>
    </row>
    <row r="75" spans="1:15" ht="15" x14ac:dyDescent="0.25">
      <c r="A75" s="77"/>
      <c r="B75" s="77"/>
      <c r="C75" s="77"/>
      <c r="D75" s="77"/>
      <c r="E75" s="77"/>
      <c r="F75" s="77"/>
      <c r="G75" s="77"/>
      <c r="H75" s="77"/>
      <c r="I75" s="77"/>
      <c r="J75" s="77"/>
      <c r="K75" s="77"/>
      <c r="L75" s="77"/>
      <c r="M75" s="77"/>
      <c r="N75" s="77"/>
      <c r="O75" s="77"/>
    </row>
    <row r="76" spans="1:15" ht="15" x14ac:dyDescent="0.25">
      <c r="A76" s="77"/>
      <c r="B76" s="77"/>
      <c r="C76" s="77"/>
      <c r="D76" s="77"/>
      <c r="E76" s="77"/>
      <c r="F76" s="77"/>
      <c r="G76" s="77"/>
      <c r="H76" s="77"/>
      <c r="I76" s="77"/>
      <c r="J76" s="77"/>
      <c r="K76" s="77"/>
      <c r="L76" s="77"/>
      <c r="M76" s="77"/>
      <c r="N76" s="77"/>
      <c r="O76" s="77"/>
    </row>
    <row r="77" spans="1:15" ht="15" x14ac:dyDescent="0.25">
      <c r="A77" s="77"/>
      <c r="B77" s="77"/>
      <c r="C77" s="77"/>
      <c r="D77" s="77"/>
      <c r="E77" s="77"/>
      <c r="F77" s="77"/>
      <c r="G77" s="77"/>
      <c r="H77" s="77"/>
      <c r="I77" s="77"/>
      <c r="J77" s="77"/>
      <c r="K77" s="77"/>
      <c r="L77" s="77"/>
      <c r="M77" s="77"/>
      <c r="N77" s="77"/>
      <c r="O77" s="77"/>
    </row>
    <row r="78" spans="1:15" ht="15" x14ac:dyDescent="0.25">
      <c r="A78" s="77"/>
      <c r="B78" s="77"/>
      <c r="C78" s="77"/>
      <c r="D78" s="77"/>
      <c r="E78" s="77"/>
      <c r="F78" s="77"/>
      <c r="G78" s="77"/>
      <c r="H78" s="77"/>
      <c r="I78" s="77"/>
      <c r="J78" s="77"/>
      <c r="K78" s="77"/>
      <c r="L78" s="77"/>
      <c r="M78" s="77"/>
      <c r="N78" s="77"/>
      <c r="O78" s="77"/>
    </row>
    <row r="79" spans="1:15" ht="15" x14ac:dyDescent="0.25">
      <c r="A79" s="77"/>
      <c r="B79" s="77"/>
      <c r="C79" s="77"/>
      <c r="D79" s="77"/>
      <c r="E79" s="77"/>
      <c r="F79" s="77"/>
      <c r="G79" s="77"/>
      <c r="H79" s="77"/>
      <c r="I79" s="77"/>
      <c r="J79" s="77"/>
      <c r="K79" s="77"/>
      <c r="L79" s="77"/>
      <c r="M79" s="77"/>
      <c r="N79" s="77"/>
      <c r="O79" s="77"/>
    </row>
    <row r="80" spans="1:15" ht="15" x14ac:dyDescent="0.25">
      <c r="A80" s="77"/>
      <c r="B80" s="77"/>
      <c r="C80" s="77"/>
      <c r="D80" s="77"/>
      <c r="E80" s="77"/>
      <c r="F80" s="77"/>
      <c r="G80" s="77"/>
      <c r="H80" s="77"/>
      <c r="I80" s="77"/>
      <c r="J80" s="77"/>
      <c r="K80" s="77"/>
      <c r="L80" s="77"/>
      <c r="M80" s="77"/>
      <c r="N80" s="77"/>
      <c r="O80" s="77"/>
    </row>
    <row r="81" spans="1:15" ht="15" x14ac:dyDescent="0.25">
      <c r="A81" s="77"/>
      <c r="B81" s="77"/>
      <c r="C81" s="77"/>
      <c r="D81" s="77"/>
      <c r="E81" s="77"/>
      <c r="F81" s="77"/>
      <c r="G81" s="77"/>
      <c r="H81" s="77"/>
      <c r="I81" s="77"/>
      <c r="J81" s="77"/>
      <c r="K81" s="77"/>
      <c r="L81" s="77"/>
      <c r="M81" s="77"/>
      <c r="N81" s="77"/>
      <c r="O81" s="77"/>
    </row>
    <row r="82" spans="1:15" ht="15" x14ac:dyDescent="0.25">
      <c r="A82" s="77"/>
      <c r="B82" s="77"/>
      <c r="C82" s="77"/>
      <c r="D82" s="77"/>
      <c r="E82" s="77"/>
      <c r="F82" s="77"/>
      <c r="G82" s="77"/>
      <c r="H82" s="77"/>
      <c r="I82" s="77"/>
      <c r="J82" s="77"/>
      <c r="K82" s="77"/>
      <c r="L82" s="77"/>
      <c r="M82" s="77"/>
      <c r="N82" s="77"/>
      <c r="O82" s="77"/>
    </row>
    <row r="83" spans="1:15" ht="15" x14ac:dyDescent="0.25">
      <c r="A83" s="77"/>
      <c r="B83" s="77"/>
      <c r="C83" s="77"/>
      <c r="D83" s="77"/>
      <c r="E83" s="77"/>
      <c r="F83" s="77"/>
      <c r="G83" s="77"/>
      <c r="H83" s="77"/>
      <c r="I83" s="77"/>
      <c r="J83" s="77"/>
      <c r="K83" s="77"/>
      <c r="L83" s="77"/>
      <c r="M83" s="77"/>
      <c r="N83" s="77"/>
      <c r="O83" s="77"/>
    </row>
    <row r="84" spans="1:15" ht="15" x14ac:dyDescent="0.25">
      <c r="A84" s="77"/>
      <c r="B84" s="77"/>
      <c r="C84" s="77"/>
      <c r="D84" s="77"/>
      <c r="E84" s="77"/>
      <c r="F84" s="77"/>
      <c r="G84" s="77"/>
      <c r="H84" s="77"/>
      <c r="I84" s="77"/>
      <c r="J84" s="77"/>
      <c r="K84" s="77"/>
      <c r="L84" s="77"/>
      <c r="M84" s="77"/>
      <c r="N84" s="77"/>
      <c r="O84" s="77"/>
    </row>
    <row r="85" spans="1:15" ht="15" x14ac:dyDescent="0.25">
      <c r="A85" s="77"/>
      <c r="B85" s="77"/>
      <c r="C85" s="77"/>
      <c r="D85" s="77"/>
      <c r="E85" s="77"/>
      <c r="F85" s="77"/>
      <c r="G85" s="77"/>
      <c r="H85" s="77"/>
      <c r="I85" s="77"/>
      <c r="J85" s="77"/>
      <c r="K85" s="77"/>
      <c r="L85" s="77"/>
      <c r="M85" s="77"/>
      <c r="N85" s="77"/>
      <c r="O85" s="77"/>
    </row>
    <row r="86" spans="1:15" ht="15" x14ac:dyDescent="0.25">
      <c r="A86" s="77"/>
      <c r="B86" s="77"/>
      <c r="C86" s="77"/>
      <c r="D86" s="77"/>
      <c r="E86" s="77"/>
      <c r="F86" s="77"/>
      <c r="G86" s="77"/>
      <c r="H86" s="77"/>
      <c r="I86" s="77"/>
      <c r="J86" s="77"/>
      <c r="K86" s="77"/>
      <c r="L86" s="77"/>
      <c r="M86" s="77"/>
      <c r="N86" s="77"/>
      <c r="O86" s="77"/>
    </row>
    <row r="87" spans="1:15" ht="15" x14ac:dyDescent="0.25">
      <c r="A87" s="77"/>
      <c r="B87" s="77"/>
      <c r="C87" s="77"/>
      <c r="D87" s="77"/>
      <c r="E87" s="77"/>
      <c r="F87" s="77"/>
      <c r="G87" s="77"/>
      <c r="H87" s="77"/>
      <c r="I87" s="77"/>
      <c r="J87" s="77"/>
      <c r="K87" s="77"/>
      <c r="L87" s="77"/>
      <c r="M87" s="77"/>
      <c r="N87" s="77"/>
      <c r="O87" s="77"/>
    </row>
    <row r="88" spans="1:15" ht="15" x14ac:dyDescent="0.25">
      <c r="A88" s="77"/>
      <c r="B88" s="77"/>
      <c r="C88" s="77"/>
      <c r="D88" s="77"/>
      <c r="E88" s="77"/>
      <c r="F88" s="77"/>
      <c r="G88" s="77"/>
      <c r="H88" s="77"/>
      <c r="I88" s="77"/>
      <c r="J88" s="77"/>
      <c r="K88" s="77"/>
      <c r="L88" s="77"/>
      <c r="M88" s="77"/>
      <c r="N88" s="77"/>
      <c r="O88" s="77"/>
    </row>
    <row r="89" spans="1:15" ht="15" x14ac:dyDescent="0.25">
      <c r="A89" s="77"/>
      <c r="B89" s="77"/>
      <c r="C89" s="77"/>
      <c r="D89" s="77"/>
      <c r="E89" s="77"/>
      <c r="F89" s="77"/>
      <c r="G89" s="77"/>
      <c r="H89" s="77"/>
      <c r="I89" s="77"/>
      <c r="J89" s="77"/>
      <c r="K89" s="77"/>
      <c r="L89" s="77"/>
      <c r="M89" s="77"/>
      <c r="N89" s="77"/>
      <c r="O89" s="77"/>
    </row>
    <row r="90" spans="1:15" ht="15" x14ac:dyDescent="0.25">
      <c r="A90" s="77"/>
      <c r="B90" s="77"/>
      <c r="C90" s="77"/>
      <c r="D90" s="77"/>
      <c r="E90" s="77"/>
      <c r="F90" s="77"/>
      <c r="G90" s="77"/>
      <c r="H90" s="77"/>
      <c r="I90" s="77"/>
      <c r="J90" s="77"/>
      <c r="K90" s="77"/>
      <c r="L90" s="77"/>
      <c r="M90" s="77"/>
      <c r="N90" s="77"/>
      <c r="O90" s="77"/>
    </row>
    <row r="91" spans="1:15" ht="15" x14ac:dyDescent="0.25">
      <c r="A91" s="77"/>
      <c r="B91" s="77"/>
      <c r="C91" s="77"/>
      <c r="D91" s="77"/>
      <c r="E91" s="77"/>
      <c r="F91" s="77"/>
      <c r="G91" s="77"/>
      <c r="H91" s="77"/>
      <c r="I91" s="77"/>
      <c r="J91" s="77"/>
      <c r="K91" s="77"/>
      <c r="L91" s="77"/>
      <c r="M91" s="77"/>
      <c r="N91" s="77"/>
      <c r="O91" s="77"/>
    </row>
    <row r="92" spans="1:15" ht="15" x14ac:dyDescent="0.25">
      <c r="A92" s="77"/>
      <c r="B92" s="77"/>
      <c r="C92" s="77"/>
      <c r="D92" s="77"/>
      <c r="E92" s="77"/>
      <c r="F92" s="77"/>
      <c r="G92" s="77"/>
      <c r="H92" s="77"/>
      <c r="I92" s="77"/>
      <c r="J92" s="77"/>
      <c r="K92" s="77"/>
      <c r="L92" s="77"/>
      <c r="M92" s="77"/>
      <c r="N92" s="77"/>
      <c r="O92" s="77"/>
    </row>
    <row r="93" spans="1:15" ht="15" x14ac:dyDescent="0.25">
      <c r="A93" s="77"/>
      <c r="B93" s="77"/>
      <c r="C93" s="77"/>
      <c r="D93" s="77"/>
      <c r="E93" s="77"/>
      <c r="F93" s="77"/>
      <c r="G93" s="77"/>
      <c r="H93" s="77"/>
      <c r="I93" s="77"/>
      <c r="J93" s="77"/>
      <c r="K93" s="77"/>
      <c r="L93" s="77"/>
      <c r="M93" s="77"/>
      <c r="N93" s="77"/>
      <c r="O93" s="77"/>
    </row>
    <row r="94" spans="1:15" ht="15" x14ac:dyDescent="0.25">
      <c r="A94" s="77"/>
      <c r="B94" s="77"/>
      <c r="C94" s="77"/>
      <c r="D94" s="77"/>
      <c r="E94" s="77"/>
      <c r="F94" s="77"/>
      <c r="G94" s="77"/>
      <c r="H94" s="77"/>
      <c r="I94" s="77"/>
      <c r="J94" s="77"/>
      <c r="K94" s="77"/>
      <c r="L94" s="77"/>
      <c r="M94" s="77"/>
      <c r="N94" s="77"/>
      <c r="O94" s="77"/>
    </row>
    <row r="95" spans="1:15" ht="15" x14ac:dyDescent="0.25">
      <c r="A95" s="77"/>
      <c r="B95" s="77"/>
      <c r="C95" s="77"/>
      <c r="D95" s="77"/>
      <c r="E95" s="77"/>
      <c r="F95" s="77"/>
      <c r="G95" s="77"/>
      <c r="H95" s="77"/>
      <c r="I95" s="77"/>
      <c r="J95" s="77"/>
      <c r="K95" s="77"/>
      <c r="L95" s="77"/>
      <c r="M95" s="77"/>
      <c r="N95" s="77"/>
      <c r="O95" s="77"/>
    </row>
    <row r="96" spans="1:15" ht="15" x14ac:dyDescent="0.25">
      <c r="A96" s="77"/>
      <c r="B96" s="77"/>
      <c r="C96" s="77"/>
      <c r="D96" s="77"/>
      <c r="E96" s="77"/>
      <c r="F96" s="77"/>
      <c r="G96" s="77"/>
      <c r="H96" s="77"/>
      <c r="I96" s="77"/>
      <c r="J96" s="77"/>
      <c r="K96" s="77"/>
      <c r="L96" s="77"/>
      <c r="M96" s="77"/>
      <c r="N96" s="77"/>
      <c r="O96" s="77"/>
    </row>
    <row r="97" spans="1:15" ht="15" x14ac:dyDescent="0.25">
      <c r="A97" s="77"/>
      <c r="B97" s="77"/>
      <c r="C97" s="77"/>
      <c r="D97" s="77"/>
      <c r="E97" s="77"/>
      <c r="F97" s="77"/>
      <c r="G97" s="77"/>
      <c r="H97" s="77"/>
      <c r="I97" s="77"/>
      <c r="J97" s="77"/>
      <c r="K97" s="77"/>
      <c r="L97" s="77"/>
      <c r="M97" s="77"/>
      <c r="N97" s="77"/>
      <c r="O97" s="77"/>
    </row>
    <row r="98" spans="1:15" ht="15" x14ac:dyDescent="0.25">
      <c r="A98" s="77"/>
      <c r="B98" s="77"/>
      <c r="C98" s="77"/>
      <c r="D98" s="77"/>
      <c r="E98" s="77"/>
      <c r="F98" s="77"/>
      <c r="G98" s="77"/>
      <c r="H98" s="77"/>
      <c r="I98" s="77"/>
      <c r="J98" s="77"/>
      <c r="K98" s="77"/>
      <c r="L98" s="77"/>
      <c r="M98" s="77"/>
      <c r="N98" s="77"/>
      <c r="O98" s="77"/>
    </row>
    <row r="99" spans="1:15" ht="15" x14ac:dyDescent="0.25">
      <c r="A99" s="77"/>
      <c r="B99" s="77"/>
      <c r="C99" s="77"/>
      <c r="D99" s="77"/>
      <c r="E99" s="77"/>
      <c r="F99" s="77"/>
      <c r="G99" s="77"/>
      <c r="H99" s="77"/>
      <c r="I99" s="77"/>
      <c r="J99" s="77"/>
      <c r="K99" s="77"/>
      <c r="L99" s="77"/>
      <c r="M99" s="77"/>
      <c r="N99" s="77"/>
      <c r="O99" s="77"/>
    </row>
    <row r="100" spans="1:15" ht="15.6" thickBot="1" x14ac:dyDescent="0.3">
      <c r="A100" s="77"/>
      <c r="B100" s="77"/>
      <c r="C100" s="77"/>
      <c r="D100" s="77"/>
      <c r="E100" s="77"/>
      <c r="F100" s="77"/>
      <c r="G100" s="77"/>
      <c r="H100" s="77"/>
      <c r="I100" s="77"/>
      <c r="J100" s="77"/>
      <c r="K100" s="77"/>
      <c r="L100" s="77"/>
      <c r="M100" s="77"/>
      <c r="N100" s="77"/>
      <c r="O100" s="77"/>
    </row>
    <row r="101" spans="1:15" ht="15" x14ac:dyDescent="0.25">
      <c r="A101" s="894" t="s">
        <v>195</v>
      </c>
      <c r="B101" s="895"/>
      <c r="C101" s="895"/>
      <c r="D101" s="895"/>
      <c r="E101" s="895"/>
      <c r="F101" s="896"/>
      <c r="G101" s="77"/>
      <c r="H101" s="77"/>
      <c r="I101" s="77"/>
      <c r="J101" s="77"/>
      <c r="K101" s="77"/>
      <c r="L101" s="77"/>
      <c r="M101" s="77"/>
      <c r="N101" s="77"/>
      <c r="O101" s="77"/>
    </row>
    <row r="102" spans="1:15" ht="15.6" thickBot="1" x14ac:dyDescent="0.3">
      <c r="A102" s="897"/>
      <c r="B102" s="898"/>
      <c r="C102" s="898"/>
      <c r="D102" s="898"/>
      <c r="E102" s="898"/>
      <c r="F102" s="899"/>
      <c r="G102" s="77"/>
      <c r="H102" s="77"/>
      <c r="I102" s="77"/>
      <c r="J102" s="77"/>
      <c r="K102" s="77"/>
      <c r="L102" s="77"/>
      <c r="M102" s="77"/>
      <c r="N102" s="77"/>
      <c r="O102" s="77"/>
    </row>
    <row r="103" spans="1:15" ht="15" x14ac:dyDescent="0.25">
      <c r="A103" s="162" t="s">
        <v>5</v>
      </c>
      <c r="B103" s="161" t="s">
        <v>6</v>
      </c>
      <c r="C103" s="161" t="s">
        <v>13</v>
      </c>
      <c r="D103" s="161" t="s">
        <v>82</v>
      </c>
      <c r="E103" s="161" t="s">
        <v>115</v>
      </c>
      <c r="F103" s="163" t="s">
        <v>116</v>
      </c>
      <c r="G103" s="77"/>
      <c r="H103" s="77"/>
      <c r="I103" s="77"/>
      <c r="J103" s="77"/>
      <c r="K103" s="77"/>
      <c r="L103" s="77"/>
      <c r="M103" s="77"/>
      <c r="N103" s="77"/>
      <c r="O103" s="77"/>
    </row>
    <row r="104" spans="1:15" ht="15" x14ac:dyDescent="0.25">
      <c r="A104" s="104" t="s">
        <v>239</v>
      </c>
      <c r="B104" s="106"/>
      <c r="C104" s="106"/>
      <c r="D104" s="105"/>
      <c r="E104" s="106"/>
      <c r="F104" s="107"/>
      <c r="G104" s="77"/>
      <c r="H104" s="77"/>
      <c r="I104" s="77"/>
      <c r="J104" s="77"/>
      <c r="K104" s="77"/>
      <c r="L104" s="77"/>
      <c r="M104" s="77"/>
      <c r="N104" s="77"/>
      <c r="O104" s="77"/>
    </row>
    <row r="105" spans="1:15" ht="30" x14ac:dyDescent="0.25">
      <c r="A105" s="104" t="s">
        <v>91</v>
      </c>
      <c r="B105" s="106" t="s">
        <v>190</v>
      </c>
      <c r="C105" s="106" t="s">
        <v>18</v>
      </c>
      <c r="D105" s="105" t="s">
        <v>8</v>
      </c>
      <c r="E105" s="106" t="s">
        <v>36</v>
      </c>
      <c r="F105" s="107" t="s">
        <v>29</v>
      </c>
      <c r="G105" s="77"/>
      <c r="H105" s="77"/>
      <c r="I105" s="77"/>
      <c r="J105" s="77"/>
      <c r="K105" s="77"/>
      <c r="L105" s="77"/>
      <c r="M105" s="77"/>
      <c r="N105" s="77"/>
      <c r="O105" s="77"/>
    </row>
    <row r="106" spans="1:15" ht="30" x14ac:dyDescent="0.25">
      <c r="A106" s="117" t="s">
        <v>27</v>
      </c>
      <c r="B106" s="106" t="s">
        <v>192</v>
      </c>
      <c r="C106" s="106" t="s">
        <v>15</v>
      </c>
      <c r="D106" s="105" t="s">
        <v>84</v>
      </c>
      <c r="E106" s="106" t="s">
        <v>35</v>
      </c>
      <c r="F106" s="107" t="s">
        <v>28</v>
      </c>
      <c r="G106" s="77"/>
      <c r="H106" s="77"/>
      <c r="I106" s="77"/>
      <c r="J106" s="77"/>
      <c r="K106" s="77"/>
      <c r="L106" s="77"/>
      <c r="M106" s="77"/>
      <c r="N106" s="77"/>
      <c r="O106" s="77"/>
    </row>
    <row r="107" spans="1:15" ht="30" x14ac:dyDescent="0.25">
      <c r="A107" s="117" t="s">
        <v>125</v>
      </c>
      <c r="B107" s="106" t="s">
        <v>191</v>
      </c>
      <c r="C107" s="106" t="s">
        <v>16</v>
      </c>
      <c r="D107" s="105"/>
      <c r="E107" s="106" t="s">
        <v>46</v>
      </c>
      <c r="F107" s="107" t="s">
        <v>34</v>
      </c>
      <c r="G107" s="77"/>
      <c r="H107" s="77"/>
      <c r="I107" s="77"/>
      <c r="J107" s="77"/>
      <c r="K107" s="77"/>
      <c r="L107" s="77"/>
      <c r="M107" s="77"/>
      <c r="N107" s="77"/>
      <c r="O107" s="77"/>
    </row>
    <row r="108" spans="1:15" ht="15" x14ac:dyDescent="0.25">
      <c r="A108" s="104" t="s">
        <v>128</v>
      </c>
      <c r="B108" s="106" t="s">
        <v>193</v>
      </c>
      <c r="C108" s="106" t="s">
        <v>20</v>
      </c>
      <c r="D108" s="105"/>
      <c r="E108" s="106" t="s">
        <v>142</v>
      </c>
      <c r="F108" s="107" t="s">
        <v>142</v>
      </c>
      <c r="G108" s="77"/>
      <c r="H108" s="77"/>
      <c r="I108" s="77"/>
      <c r="J108" s="77"/>
      <c r="K108" s="77"/>
      <c r="L108" s="77"/>
      <c r="M108" s="77"/>
      <c r="N108" s="77"/>
      <c r="O108" s="77"/>
    </row>
    <row r="109" spans="1:15" ht="15" x14ac:dyDescent="0.25">
      <c r="A109" s="117" t="s">
        <v>92</v>
      </c>
      <c r="B109" s="105"/>
      <c r="C109" s="106" t="s">
        <v>19</v>
      </c>
      <c r="D109" s="105"/>
      <c r="E109" s="106" t="s">
        <v>37</v>
      </c>
      <c r="F109" s="107" t="s">
        <v>30</v>
      </c>
      <c r="G109" s="77"/>
      <c r="H109" s="77"/>
      <c r="I109" s="77"/>
      <c r="J109" s="77"/>
      <c r="K109" s="77"/>
      <c r="L109" s="77"/>
      <c r="M109" s="77"/>
      <c r="N109" s="77"/>
      <c r="O109" s="77"/>
    </row>
    <row r="110" spans="1:15" ht="15" x14ac:dyDescent="0.25">
      <c r="A110" s="104" t="s">
        <v>194</v>
      </c>
      <c r="B110" s="105"/>
      <c r="C110" s="106" t="s">
        <v>21</v>
      </c>
      <c r="D110" s="105"/>
      <c r="E110" s="106" t="s">
        <v>117</v>
      </c>
      <c r="F110" s="107" t="s">
        <v>121</v>
      </c>
      <c r="G110" s="77"/>
      <c r="H110" s="77"/>
      <c r="I110" s="77"/>
      <c r="J110" s="77"/>
      <c r="K110" s="77"/>
      <c r="L110" s="77"/>
      <c r="M110" s="77"/>
      <c r="N110" s="77"/>
      <c r="O110" s="77"/>
    </row>
    <row r="111" spans="1:15" ht="30" x14ac:dyDescent="0.25">
      <c r="A111" s="104" t="s">
        <v>11</v>
      </c>
      <c r="B111" s="105"/>
      <c r="C111" s="106" t="s">
        <v>14</v>
      </c>
      <c r="D111" s="105"/>
      <c r="E111" s="106" t="s">
        <v>42</v>
      </c>
      <c r="F111" s="107" t="s">
        <v>40</v>
      </c>
      <c r="G111" s="77"/>
      <c r="H111" s="77"/>
      <c r="I111" s="77"/>
      <c r="J111" s="77"/>
      <c r="K111" s="77"/>
      <c r="L111" s="77"/>
      <c r="M111" s="77"/>
      <c r="N111" s="77"/>
      <c r="O111" s="77"/>
    </row>
    <row r="112" spans="1:15" ht="15" x14ac:dyDescent="0.25">
      <c r="A112" s="104" t="s">
        <v>1</v>
      </c>
      <c r="B112" s="105"/>
      <c r="C112" s="106" t="s">
        <v>17</v>
      </c>
      <c r="D112" s="105"/>
      <c r="E112" s="106" t="s">
        <v>38</v>
      </c>
      <c r="F112" s="107" t="s">
        <v>31</v>
      </c>
      <c r="G112" s="77"/>
      <c r="H112" s="77"/>
      <c r="I112" s="77"/>
      <c r="J112" s="77"/>
      <c r="K112" s="77"/>
      <c r="L112" s="77"/>
      <c r="M112" s="77"/>
      <c r="N112" s="77"/>
      <c r="O112" s="77"/>
    </row>
    <row r="113" spans="1:15" ht="15" x14ac:dyDescent="0.25">
      <c r="A113" s="117" t="s">
        <v>4</v>
      </c>
      <c r="B113" s="105"/>
      <c r="C113" s="106"/>
      <c r="D113" s="105"/>
      <c r="E113" s="106" t="s">
        <v>41</v>
      </c>
      <c r="F113" s="107" t="s">
        <v>39</v>
      </c>
      <c r="G113" s="77"/>
      <c r="H113" s="77"/>
      <c r="I113" s="77"/>
      <c r="J113" s="77"/>
      <c r="K113" s="77"/>
      <c r="L113" s="77"/>
      <c r="M113" s="77"/>
      <c r="N113" s="77"/>
      <c r="O113" s="77"/>
    </row>
    <row r="114" spans="1:15" ht="15" x14ac:dyDescent="0.25">
      <c r="A114" s="117" t="s">
        <v>126</v>
      </c>
      <c r="B114" s="105"/>
      <c r="C114" s="106"/>
      <c r="D114" s="105"/>
      <c r="E114" s="106" t="s">
        <v>43</v>
      </c>
      <c r="F114" s="107" t="s">
        <v>120</v>
      </c>
      <c r="G114" s="77"/>
      <c r="H114" s="77"/>
      <c r="I114" s="77"/>
      <c r="J114" s="77"/>
      <c r="K114" s="77"/>
      <c r="L114" s="77"/>
      <c r="M114" s="77"/>
      <c r="N114" s="77"/>
      <c r="O114" s="77"/>
    </row>
    <row r="115" spans="1:15" x14ac:dyDescent="0.25">
      <c r="A115" t="s">
        <v>238</v>
      </c>
      <c r="E115" t="s">
        <v>118</v>
      </c>
      <c r="F115" t="s">
        <v>122</v>
      </c>
    </row>
    <row r="116" spans="1:15" x14ac:dyDescent="0.25">
      <c r="A116" t="s">
        <v>183</v>
      </c>
      <c r="E116" t="s">
        <v>45</v>
      </c>
      <c r="F116" t="s">
        <v>32</v>
      </c>
    </row>
  </sheetData>
  <mergeCells count="7">
    <mergeCell ref="A101:F102"/>
    <mergeCell ref="A1:O1"/>
    <mergeCell ref="A3:O3"/>
    <mergeCell ref="A11:O11"/>
    <mergeCell ref="A29:O29"/>
    <mergeCell ref="A41:O41"/>
    <mergeCell ref="A42:F42"/>
  </mergeCells>
  <dataValidations count="7">
    <dataValidation type="list" allowBlank="1" showInputMessage="1" showErrorMessage="1" sqref="G5:G10 G20:G27 G31 G14:G17" xr:uid="{00000000-0002-0000-2300-000000000000}">
      <formula1>$C$104:$C$112</formula1>
    </dataValidation>
    <dataValidation type="list" allowBlank="1" showInputMessage="1" showErrorMessage="1" sqref="A5:A10 A31:A32 A14:A17 A20:A27" xr:uid="{00000000-0002-0000-2300-000001000000}">
      <formula1>$D$104:$D$106</formula1>
    </dataValidation>
    <dataValidation type="list" allowBlank="1" showInputMessage="1" showErrorMessage="1" sqref="B5:B10 B31 B14:B17 B20:B27" xr:uid="{00000000-0002-0000-2300-000002000000}">
      <formula1>$B$104:$B$108</formula1>
    </dataValidation>
    <dataValidation type="list" allowBlank="1" showInputMessage="1" showErrorMessage="1" sqref="E5:E10 E14:E17 E31 E20:E27" xr:uid="{00000000-0002-0000-2300-000003000000}">
      <formula1>$F$104:$F$118</formula1>
    </dataValidation>
    <dataValidation type="list" allowBlank="1" showInputMessage="1" showErrorMessage="1" sqref="F5:F10 F14:F17 F31 F20:F27" xr:uid="{00000000-0002-0000-2300-000004000000}">
      <formula1>$E$104:$E$118</formula1>
    </dataValidation>
    <dataValidation type="list" allowBlank="1" showInputMessage="1" showErrorMessage="1" sqref="C20:D27 C14:D17 C31:D31 C5:D10" xr:uid="{00000000-0002-0000-2300-000005000000}">
      <formula1>$A$104:$A$116</formula1>
    </dataValidation>
    <dataValidation type="list" allowBlank="1" showInputMessage="1" showErrorMessage="1" sqref="C32:D40" xr:uid="{00000000-0002-0000-2300-000006000000}">
      <formula1>#REF!</formula1>
    </dataValidation>
  </dataValidations>
  <pageMargins left="0.7" right="0.7" top="0.75" bottom="0.75" header="0.3" footer="0.3"/>
  <legacyDrawing r:id="rId1"/>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17">
    <tabColor rgb="FFFF0000"/>
  </sheetPr>
  <dimension ref="A1:S116"/>
  <sheetViews>
    <sheetView topLeftCell="F1" zoomScale="60" zoomScaleNormal="60" workbookViewId="0">
      <selection activeCell="DD94" sqref="DD94"/>
    </sheetView>
  </sheetViews>
  <sheetFormatPr defaultColWidth="8.77734375" defaultRowHeight="13.2" x14ac:dyDescent="0.25"/>
  <cols>
    <col min="1" max="15" width="26.44140625" customWidth="1"/>
    <col min="17" max="17" width="12.33203125" bestFit="1" customWidth="1"/>
  </cols>
  <sheetData>
    <row r="1" spans="1:19" ht="18" thickBot="1" x14ac:dyDescent="0.3">
      <c r="A1" s="900" t="s">
        <v>189</v>
      </c>
      <c r="B1" s="900"/>
      <c r="C1" s="900"/>
      <c r="D1" s="900"/>
      <c r="E1" s="900"/>
      <c r="F1" s="900"/>
      <c r="G1" s="900"/>
      <c r="H1" s="900"/>
      <c r="I1" s="900"/>
      <c r="J1" s="900"/>
      <c r="K1" s="900"/>
      <c r="L1" s="900"/>
      <c r="M1" s="900"/>
      <c r="N1" s="900"/>
      <c r="O1" s="900"/>
    </row>
    <row r="2" spans="1:19" ht="17.399999999999999" x14ac:dyDescent="0.25">
      <c r="A2" s="299" t="s">
        <v>188</v>
      </c>
      <c r="B2" s="175">
        <v>40968</v>
      </c>
      <c r="C2" s="299"/>
      <c r="D2" s="299"/>
      <c r="E2" s="299"/>
      <c r="F2" s="299"/>
      <c r="G2" s="299"/>
      <c r="H2" s="299"/>
      <c r="I2" s="299"/>
      <c r="J2" s="299"/>
      <c r="K2" s="299"/>
      <c r="L2" s="299"/>
      <c r="M2" s="299"/>
      <c r="N2" s="299"/>
      <c r="O2" s="299"/>
    </row>
    <row r="3" spans="1:19" ht="15" x14ac:dyDescent="0.25">
      <c r="A3" s="901" t="s">
        <v>204</v>
      </c>
      <c r="B3" s="902"/>
      <c r="C3" s="902"/>
      <c r="D3" s="902"/>
      <c r="E3" s="902"/>
      <c r="F3" s="902"/>
      <c r="G3" s="902"/>
      <c r="H3" s="902"/>
      <c r="I3" s="902"/>
      <c r="J3" s="902"/>
      <c r="K3" s="902"/>
      <c r="L3" s="902"/>
      <c r="M3" s="902"/>
      <c r="N3" s="902"/>
      <c r="O3" s="903"/>
    </row>
    <row r="4" spans="1:19" ht="60" x14ac:dyDescent="0.25">
      <c r="A4" s="176" t="s">
        <v>89</v>
      </c>
      <c r="B4" s="176" t="s">
        <v>90</v>
      </c>
      <c r="C4" s="177" t="s">
        <v>0</v>
      </c>
      <c r="D4" s="177" t="s">
        <v>124</v>
      </c>
      <c r="E4" s="176" t="s">
        <v>143</v>
      </c>
      <c r="F4" s="176" t="s">
        <v>144</v>
      </c>
      <c r="G4" s="176" t="s">
        <v>13</v>
      </c>
      <c r="H4" s="176" t="s">
        <v>88</v>
      </c>
      <c r="I4" s="176" t="s">
        <v>12</v>
      </c>
      <c r="J4" s="176" t="s">
        <v>158</v>
      </c>
      <c r="K4" s="176" t="s">
        <v>148</v>
      </c>
      <c r="L4" s="176" t="s">
        <v>153</v>
      </c>
      <c r="M4" s="176" t="s">
        <v>104</v>
      </c>
      <c r="N4" s="176" t="s">
        <v>154</v>
      </c>
      <c r="O4" s="176" t="s">
        <v>205</v>
      </c>
    </row>
    <row r="5" spans="1:19" ht="30" x14ac:dyDescent="0.25">
      <c r="A5" s="82" t="s">
        <v>84</v>
      </c>
      <c r="B5" s="83" t="s">
        <v>3</v>
      </c>
      <c r="C5" s="83" t="s">
        <v>1</v>
      </c>
      <c r="D5" s="83" t="s">
        <v>1</v>
      </c>
      <c r="E5" s="84" t="s">
        <v>120</v>
      </c>
      <c r="F5" s="84" t="s">
        <v>42</v>
      </c>
      <c r="G5" s="83" t="s">
        <v>14</v>
      </c>
      <c r="H5" s="85">
        <v>44423</v>
      </c>
      <c r="I5" s="83" t="s">
        <v>23</v>
      </c>
      <c r="J5" s="173">
        <v>143.66499999999999</v>
      </c>
      <c r="K5" s="296">
        <v>125.28</v>
      </c>
      <c r="L5" s="296">
        <f>N5-M5</f>
        <v>17.974</v>
      </c>
      <c r="M5" s="296">
        <v>0.17599999999999999</v>
      </c>
      <c r="N5" s="296">
        <v>18.149999999999999</v>
      </c>
      <c r="O5" s="288"/>
    </row>
    <row r="6" spans="1:19" ht="30" x14ac:dyDescent="0.25">
      <c r="A6" s="90" t="s">
        <v>84</v>
      </c>
      <c r="B6" s="91" t="s">
        <v>3</v>
      </c>
      <c r="C6" s="91" t="s">
        <v>1</v>
      </c>
      <c r="D6" s="91" t="s">
        <v>1</v>
      </c>
      <c r="E6" s="92" t="s">
        <v>120</v>
      </c>
      <c r="F6" s="91" t="s">
        <v>42</v>
      </c>
      <c r="G6" s="91" t="s">
        <v>14</v>
      </c>
      <c r="H6" s="93">
        <v>44576</v>
      </c>
      <c r="I6" s="91" t="s">
        <v>24</v>
      </c>
      <c r="J6" s="174">
        <v>27.395</v>
      </c>
      <c r="K6" s="295">
        <v>26.9575</v>
      </c>
      <c r="L6" s="295">
        <f t="shared" ref="L6:L8" si="0">N6-M6</f>
        <v>4.8479999999999999</v>
      </c>
      <c r="M6" s="295">
        <v>8.2000000000000003E-2</v>
      </c>
      <c r="N6" s="295">
        <v>4.93</v>
      </c>
      <c r="O6" s="289"/>
      <c r="P6">
        <v>27.2575</v>
      </c>
      <c r="Q6" s="449">
        <f>K6-P6</f>
        <v>-0.30000000000000071</v>
      </c>
      <c r="R6">
        <f>K6/(SUM($K$6:$K$7))</f>
        <v>0.50456225726451742</v>
      </c>
      <c r="S6">
        <f>0.3/0.57</f>
        <v>0.52631578947368418</v>
      </c>
    </row>
    <row r="7" spans="1:19" ht="30" x14ac:dyDescent="0.25">
      <c r="A7" s="82" t="s">
        <v>84</v>
      </c>
      <c r="B7" s="83" t="s">
        <v>3</v>
      </c>
      <c r="C7" s="83" t="s">
        <v>194</v>
      </c>
      <c r="D7" s="83" t="s">
        <v>194</v>
      </c>
      <c r="E7" s="84" t="s">
        <v>39</v>
      </c>
      <c r="F7" s="84" t="s">
        <v>36</v>
      </c>
      <c r="G7" s="83" t="s">
        <v>14</v>
      </c>
      <c r="H7" s="85">
        <v>44576</v>
      </c>
      <c r="I7" s="83" t="s">
        <v>24</v>
      </c>
      <c r="J7" s="173">
        <v>26.85</v>
      </c>
      <c r="K7" s="296">
        <v>26.47</v>
      </c>
      <c r="L7" s="296">
        <f t="shared" si="0"/>
        <v>4.7489999999999997</v>
      </c>
      <c r="M7" s="296">
        <v>8.1000000000000003E-2</v>
      </c>
      <c r="N7" s="296">
        <v>4.83</v>
      </c>
      <c r="O7" s="288"/>
      <c r="P7">
        <v>26.74</v>
      </c>
      <c r="Q7" s="449">
        <f>K7-P7</f>
        <v>-0.26999999999999957</v>
      </c>
      <c r="R7">
        <f>K7/(SUM($K$6:$K$7))</f>
        <v>0.49543774273548269</v>
      </c>
      <c r="S7">
        <f>0.27/0.57</f>
        <v>0.47368421052631587</v>
      </c>
    </row>
    <row r="8" spans="1:19" ht="30" x14ac:dyDescent="0.25">
      <c r="A8" s="90" t="s">
        <v>84</v>
      </c>
      <c r="B8" s="91" t="s">
        <v>3</v>
      </c>
      <c r="C8" s="91" t="s">
        <v>11</v>
      </c>
      <c r="D8" s="91" t="s">
        <v>125</v>
      </c>
      <c r="E8" s="92" t="s">
        <v>39</v>
      </c>
      <c r="F8" s="91" t="s">
        <v>38</v>
      </c>
      <c r="G8" s="91" t="s">
        <v>14</v>
      </c>
      <c r="H8" s="93">
        <v>46296</v>
      </c>
      <c r="I8" s="91" t="s">
        <v>25</v>
      </c>
      <c r="J8" s="174">
        <v>40.875</v>
      </c>
      <c r="K8" s="174">
        <v>39.75</v>
      </c>
      <c r="L8" s="174">
        <f t="shared" si="0"/>
        <v>6.758</v>
      </c>
      <c r="M8" s="174">
        <v>8.2000000000000003E-2</v>
      </c>
      <c r="N8" s="174">
        <v>6.84</v>
      </c>
      <c r="O8" s="289"/>
    </row>
    <row r="9" spans="1:19" ht="15" x14ac:dyDescent="0.25">
      <c r="A9" s="98"/>
      <c r="B9" s="111"/>
      <c r="C9" s="111"/>
      <c r="D9" s="111"/>
      <c r="E9" s="123"/>
      <c r="F9" s="111"/>
      <c r="G9" s="111"/>
      <c r="H9" s="114"/>
      <c r="I9" s="111"/>
      <c r="J9" s="189"/>
      <c r="K9" s="189"/>
      <c r="L9" s="189"/>
      <c r="M9" s="189" t="s">
        <v>75</v>
      </c>
      <c r="N9" s="190"/>
      <c r="O9" s="190"/>
    </row>
    <row r="10" spans="1:19" ht="15" x14ac:dyDescent="0.25">
      <c r="A10" s="90"/>
      <c r="B10" s="91"/>
      <c r="C10" s="91"/>
      <c r="D10" s="91"/>
      <c r="E10" s="92"/>
      <c r="F10" s="91"/>
      <c r="G10" s="91"/>
      <c r="H10" s="93"/>
      <c r="I10" s="91"/>
      <c r="J10" s="174"/>
      <c r="K10" s="174"/>
      <c r="L10" s="174"/>
      <c r="M10" s="174"/>
      <c r="N10" s="289"/>
      <c r="O10" s="289"/>
    </row>
    <row r="11" spans="1:19" ht="15" x14ac:dyDescent="0.25">
      <c r="A11" s="901" t="s">
        <v>203</v>
      </c>
      <c r="B11" s="902"/>
      <c r="C11" s="902"/>
      <c r="D11" s="902"/>
      <c r="E11" s="902"/>
      <c r="F11" s="902"/>
      <c r="G11" s="902"/>
      <c r="H11" s="902"/>
      <c r="I11" s="902"/>
      <c r="J11" s="902"/>
      <c r="K11" s="902"/>
      <c r="L11" s="902"/>
      <c r="M11" s="902"/>
      <c r="N11" s="902"/>
      <c r="O11" s="903"/>
    </row>
    <row r="12" spans="1:19" ht="60" x14ac:dyDescent="0.25">
      <c r="A12" s="176" t="s">
        <v>89</v>
      </c>
      <c r="B12" s="176" t="s">
        <v>90</v>
      </c>
      <c r="C12" s="177" t="s">
        <v>0</v>
      </c>
      <c r="D12" s="180" t="s">
        <v>124</v>
      </c>
      <c r="E12" s="176" t="s">
        <v>143</v>
      </c>
      <c r="F12" s="176" t="s">
        <v>144</v>
      </c>
      <c r="G12" s="176" t="s">
        <v>13</v>
      </c>
      <c r="H12" s="176" t="s">
        <v>88</v>
      </c>
      <c r="I12" s="176" t="s">
        <v>12</v>
      </c>
      <c r="J12" s="176" t="s">
        <v>150</v>
      </c>
      <c r="K12" s="176" t="s">
        <v>151</v>
      </c>
      <c r="L12" s="176" t="s">
        <v>157</v>
      </c>
      <c r="M12" s="176" t="s">
        <v>149</v>
      </c>
      <c r="N12" s="176" t="s">
        <v>154</v>
      </c>
      <c r="O12" s="176" t="s">
        <v>205</v>
      </c>
    </row>
    <row r="13" spans="1:19" ht="15" x14ac:dyDescent="0.25">
      <c r="A13" s="184" t="s">
        <v>197</v>
      </c>
      <c r="B13" s="184"/>
      <c r="C13" s="185"/>
      <c r="D13" s="185"/>
      <c r="E13" s="184"/>
      <c r="F13" s="184"/>
      <c r="G13" s="184"/>
      <c r="H13" s="184"/>
      <c r="I13" s="184"/>
      <c r="J13" s="184"/>
      <c r="K13" s="184"/>
      <c r="L13" s="184"/>
      <c r="M13" s="184"/>
      <c r="N13" s="184"/>
      <c r="O13" s="186"/>
    </row>
    <row r="14" spans="1:19" ht="30" x14ac:dyDescent="0.25">
      <c r="A14" s="90" t="s">
        <v>84</v>
      </c>
      <c r="B14" s="91" t="s">
        <v>7</v>
      </c>
      <c r="C14" s="324" t="s">
        <v>238</v>
      </c>
      <c r="D14" s="91" t="s">
        <v>239</v>
      </c>
      <c r="E14" s="325" t="s">
        <v>32</v>
      </c>
      <c r="F14" s="324" t="s">
        <v>45</v>
      </c>
      <c r="G14" s="91" t="s">
        <v>22</v>
      </c>
      <c r="H14" s="93">
        <v>41090</v>
      </c>
      <c r="I14" s="91" t="s">
        <v>176</v>
      </c>
      <c r="J14" s="289">
        <v>33.979999999999997</v>
      </c>
      <c r="K14" s="289">
        <v>25.02</v>
      </c>
      <c r="L14" s="289">
        <f>+J14-K14</f>
        <v>8.9599999999999973</v>
      </c>
      <c r="M14" s="289"/>
      <c r="N14" s="289"/>
      <c r="O14" s="289"/>
    </row>
    <row r="15" spans="1:19" ht="30" x14ac:dyDescent="0.25">
      <c r="A15" s="82" t="s">
        <v>8</v>
      </c>
      <c r="B15" s="83" t="s">
        <v>7</v>
      </c>
      <c r="C15" s="322" t="s">
        <v>238</v>
      </c>
      <c r="D15" s="83" t="s">
        <v>239</v>
      </c>
      <c r="E15" s="323" t="s">
        <v>32</v>
      </c>
      <c r="F15" s="323" t="s">
        <v>45</v>
      </c>
      <c r="G15" s="83" t="s">
        <v>22</v>
      </c>
      <c r="H15" s="85">
        <v>41455</v>
      </c>
      <c r="I15" s="83" t="s">
        <v>131</v>
      </c>
      <c r="J15" s="288">
        <v>26.06</v>
      </c>
      <c r="K15" s="288">
        <v>0</v>
      </c>
      <c r="L15" s="288">
        <f t="shared" ref="L15:L18" si="1">+J15-K15</f>
        <v>26.06</v>
      </c>
      <c r="M15" s="288"/>
      <c r="N15" s="288"/>
      <c r="O15" s="288"/>
    </row>
    <row r="16" spans="1:19" ht="30" x14ac:dyDescent="0.25">
      <c r="A16" s="90" t="s">
        <v>8</v>
      </c>
      <c r="B16" s="91" t="s">
        <v>193</v>
      </c>
      <c r="C16" s="324" t="s">
        <v>238</v>
      </c>
      <c r="D16" s="91" t="s">
        <v>239</v>
      </c>
      <c r="E16" s="325" t="s">
        <v>32</v>
      </c>
      <c r="F16" s="324" t="s">
        <v>45</v>
      </c>
      <c r="G16" s="91" t="s">
        <v>22</v>
      </c>
      <c r="H16" s="93">
        <v>41820</v>
      </c>
      <c r="I16" s="91" t="s">
        <v>132</v>
      </c>
      <c r="J16" s="289">
        <v>14.61</v>
      </c>
      <c r="K16" s="289">
        <v>0</v>
      </c>
      <c r="L16" s="289">
        <f t="shared" si="1"/>
        <v>14.61</v>
      </c>
      <c r="M16" s="289"/>
      <c r="N16" s="289"/>
      <c r="O16" s="289"/>
    </row>
    <row r="17" spans="1:17" ht="30" x14ac:dyDescent="0.25">
      <c r="A17" s="82" t="s">
        <v>8</v>
      </c>
      <c r="B17" s="83" t="s">
        <v>193</v>
      </c>
      <c r="C17" s="322" t="s">
        <v>238</v>
      </c>
      <c r="D17" s="83" t="s">
        <v>239</v>
      </c>
      <c r="E17" s="323" t="s">
        <v>32</v>
      </c>
      <c r="F17" s="323" t="s">
        <v>45</v>
      </c>
      <c r="G17" s="91" t="s">
        <v>22</v>
      </c>
      <c r="H17" s="85">
        <v>42185</v>
      </c>
      <c r="I17" s="83" t="s">
        <v>133</v>
      </c>
      <c r="J17" s="191">
        <v>6.27</v>
      </c>
      <c r="K17" s="191">
        <v>0</v>
      </c>
      <c r="L17" s="288">
        <f t="shared" si="1"/>
        <v>6.27</v>
      </c>
      <c r="M17" s="288"/>
      <c r="N17" s="288"/>
      <c r="O17" s="288"/>
    </row>
    <row r="18" spans="1:17" ht="15" x14ac:dyDescent="0.25">
      <c r="A18" s="181"/>
      <c r="B18" s="181"/>
      <c r="C18" s="181"/>
      <c r="D18" s="181"/>
      <c r="E18" s="182"/>
      <c r="F18" s="181"/>
      <c r="G18" s="181"/>
      <c r="H18" s="183" t="s">
        <v>206</v>
      </c>
      <c r="I18" s="181"/>
      <c r="J18" s="290">
        <f>SUM(J14:J17)</f>
        <v>80.919999999999987</v>
      </c>
      <c r="K18" s="290">
        <f>SUM(K14:K17)</f>
        <v>25.02</v>
      </c>
      <c r="L18" s="290">
        <f t="shared" si="1"/>
        <v>55.899999999999991</v>
      </c>
      <c r="M18" s="290">
        <f>+L18-N18</f>
        <v>36.659999999999997</v>
      </c>
      <c r="N18" s="290">
        <v>19.239999999999998</v>
      </c>
      <c r="O18" s="290">
        <v>35</v>
      </c>
    </row>
    <row r="19" spans="1:17" ht="15" x14ac:dyDescent="0.25">
      <c r="A19" s="184" t="s">
        <v>198</v>
      </c>
      <c r="B19" s="184"/>
      <c r="C19" s="185"/>
      <c r="D19" s="185"/>
      <c r="E19" s="184"/>
      <c r="F19" s="184"/>
      <c r="G19" s="184"/>
      <c r="H19" s="184"/>
      <c r="I19" s="184"/>
      <c r="J19" s="184"/>
      <c r="K19" s="184"/>
      <c r="L19" s="184"/>
      <c r="M19" s="184"/>
      <c r="N19" s="184"/>
      <c r="O19" s="186"/>
    </row>
    <row r="20" spans="1:17" ht="30" x14ac:dyDescent="0.25">
      <c r="A20" s="82" t="s">
        <v>8</v>
      </c>
      <c r="B20" s="83" t="s">
        <v>7</v>
      </c>
      <c r="C20" s="83" t="s">
        <v>27</v>
      </c>
      <c r="D20" s="83" t="s">
        <v>127</v>
      </c>
      <c r="E20" s="323" t="s">
        <v>33</v>
      </c>
      <c r="F20" s="323" t="s">
        <v>45</v>
      </c>
      <c r="G20" s="83" t="s">
        <v>22</v>
      </c>
      <c r="H20" s="85">
        <v>41090</v>
      </c>
      <c r="I20" s="83" t="s">
        <v>135</v>
      </c>
      <c r="J20" s="288">
        <v>6.57</v>
      </c>
      <c r="K20" s="288">
        <v>4.0750000000000002</v>
      </c>
      <c r="L20" s="288">
        <f>+J20-K20</f>
        <v>2.4950000000000001</v>
      </c>
      <c r="M20" s="288"/>
      <c r="N20" s="288"/>
      <c r="O20" s="288"/>
    </row>
    <row r="21" spans="1:17" ht="30" x14ac:dyDescent="0.25">
      <c r="A21" s="90" t="s">
        <v>8</v>
      </c>
      <c r="B21" s="91" t="s">
        <v>7</v>
      </c>
      <c r="C21" s="91" t="s">
        <v>92</v>
      </c>
      <c r="D21" s="91" t="s">
        <v>128</v>
      </c>
      <c r="E21" s="325" t="s">
        <v>33</v>
      </c>
      <c r="F21" s="324" t="s">
        <v>44</v>
      </c>
      <c r="G21" s="91" t="s">
        <v>22</v>
      </c>
      <c r="H21" s="93">
        <v>41090</v>
      </c>
      <c r="I21" s="91" t="s">
        <v>136</v>
      </c>
      <c r="J21" s="289">
        <v>0.25</v>
      </c>
      <c r="K21" s="289">
        <v>0.24</v>
      </c>
      <c r="L21" s="289">
        <f t="shared" ref="L21:L28" si="2">+J21-K21</f>
        <v>1.0000000000000009E-2</v>
      </c>
      <c r="M21" s="289"/>
      <c r="N21" s="289"/>
      <c r="O21" s="289"/>
      <c r="Q21" s="293"/>
    </row>
    <row r="22" spans="1:17" ht="30" x14ac:dyDescent="0.25">
      <c r="A22" s="82" t="s">
        <v>8</v>
      </c>
      <c r="B22" s="83" t="s">
        <v>7</v>
      </c>
      <c r="C22" s="83" t="s">
        <v>27</v>
      </c>
      <c r="D22" s="83" t="s">
        <v>127</v>
      </c>
      <c r="E22" s="323" t="s">
        <v>33</v>
      </c>
      <c r="F22" s="323" t="s">
        <v>45</v>
      </c>
      <c r="G22" s="83" t="s">
        <v>22</v>
      </c>
      <c r="H22" s="85">
        <v>41455</v>
      </c>
      <c r="I22" s="83" t="s">
        <v>137</v>
      </c>
      <c r="J22" s="288">
        <v>5.25</v>
      </c>
      <c r="K22" s="288">
        <v>0</v>
      </c>
      <c r="L22" s="288">
        <f t="shared" si="2"/>
        <v>5.25</v>
      </c>
      <c r="M22" s="288"/>
      <c r="N22" s="288"/>
      <c r="O22" s="288"/>
    </row>
    <row r="23" spans="1:17" ht="30" x14ac:dyDescent="0.25">
      <c r="A23" s="90" t="s">
        <v>84</v>
      </c>
      <c r="B23" s="91" t="s">
        <v>7</v>
      </c>
      <c r="C23" s="91" t="s">
        <v>92</v>
      </c>
      <c r="D23" s="91" t="s">
        <v>128</v>
      </c>
      <c r="E23" s="325" t="s">
        <v>33</v>
      </c>
      <c r="F23" s="324" t="s">
        <v>44</v>
      </c>
      <c r="G23" s="91" t="s">
        <v>22</v>
      </c>
      <c r="H23" s="93">
        <v>41455</v>
      </c>
      <c r="I23" s="91" t="s">
        <v>137</v>
      </c>
      <c r="J23" s="289">
        <v>0.03</v>
      </c>
      <c r="K23" s="289">
        <v>0</v>
      </c>
      <c r="L23" s="289">
        <f t="shared" si="2"/>
        <v>0.03</v>
      </c>
      <c r="M23" s="289"/>
      <c r="N23" s="289"/>
      <c r="O23" s="289"/>
    </row>
    <row r="24" spans="1:17" ht="30" x14ac:dyDescent="0.25">
      <c r="A24" s="82" t="s">
        <v>84</v>
      </c>
      <c r="B24" s="83" t="s">
        <v>7</v>
      </c>
      <c r="C24" s="83" t="s">
        <v>27</v>
      </c>
      <c r="D24" s="83" t="s">
        <v>127</v>
      </c>
      <c r="E24" s="323" t="s">
        <v>33</v>
      </c>
      <c r="F24" s="323" t="s">
        <v>45</v>
      </c>
      <c r="G24" s="83" t="s">
        <v>22</v>
      </c>
      <c r="H24" s="85">
        <v>41820</v>
      </c>
      <c r="I24" s="83" t="s">
        <v>138</v>
      </c>
      <c r="J24" s="288">
        <v>0.92</v>
      </c>
      <c r="K24" s="288">
        <v>0</v>
      </c>
      <c r="L24" s="288">
        <f t="shared" si="2"/>
        <v>0.92</v>
      </c>
      <c r="M24" s="288"/>
      <c r="N24" s="288"/>
      <c r="O24" s="288"/>
    </row>
    <row r="25" spans="1:17" ht="30" x14ac:dyDescent="0.25">
      <c r="A25" s="90" t="s">
        <v>8</v>
      </c>
      <c r="B25" s="91" t="s">
        <v>7</v>
      </c>
      <c r="C25" s="91" t="s">
        <v>92</v>
      </c>
      <c r="D25" s="91" t="s">
        <v>128</v>
      </c>
      <c r="E25" s="325" t="s">
        <v>33</v>
      </c>
      <c r="F25" s="324" t="s">
        <v>44</v>
      </c>
      <c r="G25" s="91" t="s">
        <v>22</v>
      </c>
      <c r="H25" s="93">
        <v>41820</v>
      </c>
      <c r="I25" s="91" t="s">
        <v>138</v>
      </c>
      <c r="J25" s="289">
        <v>0.21</v>
      </c>
      <c r="K25" s="289">
        <v>0</v>
      </c>
      <c r="L25" s="289">
        <f t="shared" si="2"/>
        <v>0.21</v>
      </c>
      <c r="M25" s="289"/>
      <c r="N25" s="289"/>
      <c r="O25" s="289"/>
    </row>
    <row r="26" spans="1:17" ht="30" x14ac:dyDescent="0.25">
      <c r="A26" s="82" t="s">
        <v>8</v>
      </c>
      <c r="B26" s="83" t="s">
        <v>7</v>
      </c>
      <c r="C26" s="83"/>
      <c r="D26" s="83"/>
      <c r="E26" s="84"/>
      <c r="F26" s="84"/>
      <c r="G26" s="83"/>
      <c r="H26" s="85"/>
      <c r="I26" s="83" t="s">
        <v>139</v>
      </c>
      <c r="J26" s="288">
        <v>0</v>
      </c>
      <c r="K26" s="288">
        <v>0</v>
      </c>
      <c r="L26" s="288">
        <f t="shared" si="2"/>
        <v>0</v>
      </c>
      <c r="M26" s="288"/>
      <c r="N26" s="288"/>
      <c r="O26" s="288"/>
    </row>
    <row r="27" spans="1:17" ht="30" x14ac:dyDescent="0.25">
      <c r="A27" s="90" t="s">
        <v>8</v>
      </c>
      <c r="B27" s="91" t="s">
        <v>7</v>
      </c>
      <c r="C27" s="91"/>
      <c r="D27" s="91"/>
      <c r="E27" s="92"/>
      <c r="F27" s="91"/>
      <c r="G27" s="91"/>
      <c r="H27" s="93"/>
      <c r="I27" s="91" t="s">
        <v>139</v>
      </c>
      <c r="J27" s="291">
        <v>0</v>
      </c>
      <c r="K27" s="291">
        <v>0</v>
      </c>
      <c r="L27" s="291">
        <f t="shared" si="2"/>
        <v>0</v>
      </c>
      <c r="M27" s="291"/>
      <c r="N27" s="291"/>
      <c r="O27" s="291"/>
    </row>
    <row r="28" spans="1:17" ht="15" x14ac:dyDescent="0.25">
      <c r="A28" s="181"/>
      <c r="B28" s="181"/>
      <c r="C28" s="181"/>
      <c r="D28" s="181"/>
      <c r="E28" s="182"/>
      <c r="F28" s="181"/>
      <c r="G28" s="181"/>
      <c r="H28" s="183" t="s">
        <v>206</v>
      </c>
      <c r="I28" s="181"/>
      <c r="J28" s="290">
        <f>SUM(J20:J27)</f>
        <v>13.23</v>
      </c>
      <c r="K28" s="290">
        <f>SUM(K20:K27)</f>
        <v>4.3150000000000004</v>
      </c>
      <c r="L28" s="290">
        <f t="shared" si="2"/>
        <v>8.9149999999999991</v>
      </c>
      <c r="M28" s="290">
        <f>+L28-N28</f>
        <v>7.2249999999999996</v>
      </c>
      <c r="N28" s="290">
        <v>1.69</v>
      </c>
      <c r="O28" s="290"/>
    </row>
    <row r="29" spans="1:17" ht="15" x14ac:dyDescent="0.25">
      <c r="A29" s="901" t="s">
        <v>202</v>
      </c>
      <c r="B29" s="902"/>
      <c r="C29" s="902"/>
      <c r="D29" s="902"/>
      <c r="E29" s="902"/>
      <c r="F29" s="902"/>
      <c r="G29" s="902"/>
      <c r="H29" s="902"/>
      <c r="I29" s="902"/>
      <c r="J29" s="902"/>
      <c r="K29" s="902"/>
      <c r="L29" s="902"/>
      <c r="M29" s="902"/>
      <c r="N29" s="902"/>
      <c r="O29" s="903"/>
    </row>
    <row r="30" spans="1:17" ht="60" x14ac:dyDescent="0.25">
      <c r="A30" s="176" t="s">
        <v>89</v>
      </c>
      <c r="B30" s="176" t="s">
        <v>90</v>
      </c>
      <c r="C30" s="177" t="s">
        <v>0</v>
      </c>
      <c r="D30" s="177" t="s">
        <v>124</v>
      </c>
      <c r="E30" s="176" t="s">
        <v>143</v>
      </c>
      <c r="F30" s="176" t="s">
        <v>144</v>
      </c>
      <c r="G30" s="176" t="s">
        <v>13</v>
      </c>
      <c r="H30" s="176" t="s">
        <v>88</v>
      </c>
      <c r="I30" s="176" t="s">
        <v>12</v>
      </c>
      <c r="J30" s="176" t="s">
        <v>200</v>
      </c>
      <c r="K30" s="176" t="s">
        <v>199</v>
      </c>
      <c r="L30" s="176" t="s">
        <v>201</v>
      </c>
      <c r="M30" s="176" t="s">
        <v>149</v>
      </c>
      <c r="N30" s="176" t="s">
        <v>154</v>
      </c>
      <c r="O30" s="176" t="s">
        <v>205</v>
      </c>
    </row>
    <row r="31" spans="1:17" ht="30" x14ac:dyDescent="0.25">
      <c r="A31" s="90" t="s">
        <v>84</v>
      </c>
      <c r="B31" s="91" t="s">
        <v>9</v>
      </c>
      <c r="C31" s="91" t="s">
        <v>183</v>
      </c>
      <c r="D31" s="91" t="s">
        <v>142</v>
      </c>
      <c r="E31" s="92" t="s">
        <v>142</v>
      </c>
      <c r="F31" s="91" t="s">
        <v>142</v>
      </c>
      <c r="G31" s="91" t="s">
        <v>22</v>
      </c>
      <c r="H31" s="93">
        <v>41449</v>
      </c>
      <c r="I31" s="91" t="s">
        <v>172</v>
      </c>
      <c r="J31" s="292">
        <v>7.0349999999999996E-2</v>
      </c>
      <c r="K31" s="292" t="s">
        <v>10</v>
      </c>
      <c r="L31" s="292">
        <v>7.0349999999999996E-2</v>
      </c>
      <c r="M31" s="292">
        <f>0.0665</f>
        <v>6.6500000000000004E-2</v>
      </c>
      <c r="N31" s="292">
        <f>L31-M31</f>
        <v>3.8499999999999923E-3</v>
      </c>
      <c r="O31" s="292"/>
    </row>
    <row r="32" spans="1:17" ht="15" x14ac:dyDescent="0.25">
      <c r="A32" s="98"/>
      <c r="B32" s="77"/>
      <c r="C32" s="77"/>
      <c r="D32" s="77"/>
      <c r="E32" s="77"/>
      <c r="F32" s="77"/>
      <c r="G32" s="77"/>
      <c r="H32" s="77"/>
      <c r="I32" s="77"/>
      <c r="J32" s="144"/>
      <c r="K32" s="144"/>
      <c r="L32" s="144"/>
      <c r="M32" s="144"/>
      <c r="N32" s="144"/>
      <c r="O32" s="144"/>
    </row>
    <row r="33" spans="1:15" ht="15" x14ac:dyDescent="0.25">
      <c r="A33" s="77"/>
      <c r="B33" s="77"/>
      <c r="C33" s="77"/>
      <c r="D33" s="77"/>
      <c r="E33" s="77"/>
      <c r="F33" s="77"/>
      <c r="G33" s="77"/>
      <c r="H33" s="77"/>
      <c r="I33" s="77"/>
      <c r="J33" s="77"/>
      <c r="K33" s="77"/>
      <c r="L33" s="77"/>
      <c r="M33" s="77"/>
      <c r="N33" s="77"/>
      <c r="O33" s="77"/>
    </row>
    <row r="34" spans="1:15" ht="15" x14ac:dyDescent="0.25">
      <c r="A34" s="77"/>
      <c r="B34" s="77"/>
      <c r="C34" s="77"/>
      <c r="D34" s="77"/>
      <c r="E34" s="77"/>
      <c r="F34" s="77"/>
      <c r="G34" s="77"/>
      <c r="H34" s="77"/>
      <c r="I34" s="77"/>
      <c r="J34" s="77"/>
      <c r="K34" s="77"/>
      <c r="L34" s="77"/>
      <c r="M34" s="77"/>
      <c r="N34" s="77"/>
      <c r="O34" s="77"/>
    </row>
    <row r="35" spans="1:15" ht="15" x14ac:dyDescent="0.25">
      <c r="A35" s="77"/>
      <c r="B35" s="77"/>
      <c r="C35" s="77"/>
      <c r="D35" s="77"/>
      <c r="E35" s="77"/>
      <c r="F35" s="77"/>
      <c r="G35" s="77"/>
      <c r="H35" s="77"/>
      <c r="I35" s="77"/>
      <c r="J35" s="77"/>
      <c r="K35" s="77"/>
      <c r="L35" s="77"/>
      <c r="M35" s="77"/>
      <c r="N35" s="77"/>
      <c r="O35" s="77"/>
    </row>
    <row r="36" spans="1:15" ht="15" x14ac:dyDescent="0.25">
      <c r="A36" s="77"/>
      <c r="B36" s="77"/>
      <c r="C36" s="77"/>
      <c r="D36" s="77"/>
      <c r="E36" s="77"/>
      <c r="F36" s="77"/>
      <c r="G36" s="77"/>
      <c r="H36" s="77"/>
      <c r="I36" s="77"/>
      <c r="J36" s="77"/>
      <c r="K36" s="77"/>
      <c r="L36" s="77"/>
      <c r="M36" s="77"/>
      <c r="N36" s="77"/>
      <c r="O36" s="77"/>
    </row>
    <row r="37" spans="1:15" ht="15" x14ac:dyDescent="0.25">
      <c r="A37" s="77"/>
      <c r="B37" s="77"/>
      <c r="C37" s="77"/>
      <c r="D37" s="77"/>
      <c r="E37" s="77"/>
      <c r="F37" s="77"/>
      <c r="G37" s="77"/>
      <c r="H37" s="77"/>
      <c r="I37" s="77"/>
      <c r="J37" s="77"/>
      <c r="K37" s="77"/>
      <c r="L37" s="77"/>
      <c r="M37" s="77"/>
      <c r="N37" s="77"/>
      <c r="O37" s="77"/>
    </row>
    <row r="38" spans="1:15" ht="15" x14ac:dyDescent="0.25">
      <c r="A38" s="77"/>
      <c r="B38" s="77"/>
      <c r="C38" s="77"/>
      <c r="D38" s="77"/>
      <c r="E38" s="77"/>
      <c r="F38" s="77"/>
      <c r="G38" s="77"/>
      <c r="H38" s="77"/>
      <c r="I38" s="77"/>
      <c r="J38" s="77"/>
      <c r="K38" s="77"/>
      <c r="L38" s="77"/>
      <c r="M38" s="77"/>
      <c r="N38" s="77"/>
      <c r="O38" s="77"/>
    </row>
    <row r="39" spans="1:15" ht="15" x14ac:dyDescent="0.25">
      <c r="A39" s="77"/>
      <c r="B39" s="77"/>
      <c r="C39" s="77"/>
      <c r="D39" s="77"/>
      <c r="E39" s="77"/>
      <c r="F39" s="77"/>
      <c r="G39" s="77"/>
      <c r="H39" s="77"/>
      <c r="I39" s="77"/>
      <c r="J39" s="77"/>
      <c r="K39" s="77"/>
      <c r="L39" s="77"/>
      <c r="M39" s="77"/>
      <c r="N39" s="77"/>
      <c r="O39" s="77"/>
    </row>
    <row r="40" spans="1:15" ht="15" x14ac:dyDescent="0.25">
      <c r="A40" s="77"/>
      <c r="B40" s="77"/>
      <c r="C40" s="77"/>
      <c r="D40" s="77"/>
      <c r="E40" s="77"/>
      <c r="F40" s="77"/>
      <c r="G40" s="77"/>
      <c r="H40" s="77"/>
      <c r="I40" s="77"/>
      <c r="J40" s="77"/>
      <c r="K40" s="77"/>
      <c r="L40" s="77"/>
      <c r="M40" s="77"/>
      <c r="N40" s="77"/>
      <c r="O40" s="77"/>
    </row>
    <row r="41" spans="1:15" ht="15.6" thickBot="1" x14ac:dyDescent="0.3">
      <c r="A41" s="904"/>
      <c r="B41" s="904"/>
      <c r="C41" s="904"/>
      <c r="D41" s="904"/>
      <c r="E41" s="904"/>
      <c r="F41" s="904"/>
      <c r="G41" s="904"/>
      <c r="H41" s="904"/>
      <c r="I41" s="904"/>
      <c r="J41" s="904"/>
      <c r="K41" s="904"/>
      <c r="L41" s="904"/>
      <c r="M41" s="904"/>
      <c r="N41" s="904"/>
      <c r="O41" s="904"/>
    </row>
    <row r="42" spans="1:15" ht="15.6" x14ac:dyDescent="0.3">
      <c r="A42" s="905"/>
      <c r="B42" s="905"/>
      <c r="C42" s="905"/>
      <c r="D42" s="905"/>
      <c r="E42" s="905"/>
      <c r="F42" s="905"/>
      <c r="G42" s="77"/>
      <c r="H42" s="77"/>
      <c r="I42" s="77"/>
      <c r="J42" s="77"/>
      <c r="K42" s="77"/>
      <c r="L42" s="77"/>
      <c r="M42" s="77"/>
      <c r="N42" s="77"/>
      <c r="O42" s="77"/>
    </row>
    <row r="43" spans="1:15" ht="15.6" x14ac:dyDescent="0.3">
      <c r="A43" s="202"/>
      <c r="B43" s="203"/>
      <c r="C43" s="203"/>
      <c r="D43" s="202"/>
      <c r="E43" s="202"/>
      <c r="F43" s="202"/>
      <c r="G43" s="77"/>
      <c r="H43" s="203"/>
      <c r="I43" s="77"/>
      <c r="J43" s="77"/>
      <c r="K43" s="77"/>
      <c r="L43" s="77"/>
      <c r="M43" s="77"/>
      <c r="N43" s="77"/>
      <c r="O43" s="77"/>
    </row>
    <row r="44" spans="1:15" ht="15" x14ac:dyDescent="0.25">
      <c r="A44" s="168"/>
      <c r="B44" s="168"/>
      <c r="C44" s="168"/>
      <c r="D44" s="168"/>
      <c r="E44" s="168"/>
      <c r="F44" s="168"/>
      <c r="G44" s="77"/>
      <c r="H44" s="77"/>
      <c r="I44" s="77"/>
      <c r="J44" s="77"/>
      <c r="K44" s="77"/>
      <c r="L44" s="77"/>
      <c r="M44" s="77"/>
      <c r="N44" s="77"/>
      <c r="O44" s="77"/>
    </row>
    <row r="45" spans="1:15" ht="15" x14ac:dyDescent="0.25">
      <c r="A45" s="211"/>
      <c r="B45" s="204"/>
      <c r="C45" s="204"/>
      <c r="D45" s="204"/>
      <c r="E45" s="204"/>
      <c r="F45" s="205"/>
      <c r="G45" s="77"/>
      <c r="H45" s="144"/>
      <c r="I45" s="77"/>
      <c r="J45" s="77"/>
      <c r="K45" s="77"/>
      <c r="L45" s="77"/>
      <c r="M45" s="77"/>
      <c r="N45" s="77"/>
      <c r="O45" s="77"/>
    </row>
    <row r="46" spans="1:15" ht="15" x14ac:dyDescent="0.25">
      <c r="A46" s="211"/>
      <c r="B46" s="204"/>
      <c r="C46" s="204"/>
      <c r="D46" s="204"/>
      <c r="E46" s="204"/>
      <c r="F46" s="205"/>
      <c r="G46" s="77"/>
      <c r="H46" s="77"/>
      <c r="I46" s="77"/>
      <c r="J46" s="77"/>
      <c r="K46" s="77"/>
      <c r="L46" s="77"/>
      <c r="M46" s="77"/>
      <c r="N46" s="77"/>
      <c r="O46" s="77"/>
    </row>
    <row r="47" spans="1:15" ht="15" x14ac:dyDescent="0.25">
      <c r="A47" s="168"/>
      <c r="B47" s="204"/>
      <c r="C47" s="204"/>
      <c r="D47" s="204"/>
      <c r="E47" s="204"/>
      <c r="F47" s="205"/>
      <c r="G47" s="77"/>
      <c r="H47" s="144"/>
      <c r="I47" s="77"/>
      <c r="J47" s="77"/>
      <c r="K47" s="77"/>
      <c r="L47" s="77"/>
      <c r="M47" s="77"/>
      <c r="N47" s="77"/>
      <c r="O47" s="77"/>
    </row>
    <row r="48" spans="1:15" ht="15" x14ac:dyDescent="0.25">
      <c r="A48" s="211"/>
      <c r="B48" s="204"/>
      <c r="C48" s="204"/>
      <c r="D48" s="204"/>
      <c r="E48" s="204"/>
      <c r="F48" s="205"/>
      <c r="G48" s="77"/>
      <c r="H48" s="144"/>
      <c r="I48" s="77"/>
      <c r="J48" s="77"/>
      <c r="K48" s="77"/>
      <c r="L48" s="77"/>
      <c r="M48" s="77"/>
      <c r="N48" s="77"/>
      <c r="O48" s="77"/>
    </row>
    <row r="49" spans="1:15" ht="15" x14ac:dyDescent="0.25">
      <c r="A49" s="168"/>
      <c r="B49" s="204"/>
      <c r="C49" s="204"/>
      <c r="D49" s="204"/>
      <c r="E49" s="204"/>
      <c r="F49" s="205"/>
      <c r="G49" s="77"/>
      <c r="H49" s="144"/>
      <c r="I49" s="77"/>
      <c r="J49" s="77"/>
      <c r="K49" s="77"/>
      <c r="L49" s="77"/>
      <c r="M49" s="77"/>
      <c r="N49" s="77"/>
      <c r="O49" s="77"/>
    </row>
    <row r="50" spans="1:15" ht="15" x14ac:dyDescent="0.25">
      <c r="A50" s="168"/>
      <c r="B50" s="204"/>
      <c r="C50" s="204"/>
      <c r="D50" s="204"/>
      <c r="E50" s="204"/>
      <c r="F50" s="205"/>
      <c r="G50" s="77"/>
      <c r="H50" s="144"/>
      <c r="I50" s="77"/>
      <c r="J50" s="77"/>
      <c r="K50" s="77"/>
      <c r="L50" s="77"/>
      <c r="M50" s="77"/>
      <c r="N50" s="77"/>
      <c r="O50" s="77"/>
    </row>
    <row r="51" spans="1:15" ht="16.8" x14ac:dyDescent="0.4">
      <c r="A51" s="168"/>
      <c r="B51" s="206"/>
      <c r="C51" s="206"/>
      <c r="D51" s="206"/>
      <c r="E51" s="206"/>
      <c r="F51" s="207"/>
      <c r="G51" s="77"/>
      <c r="H51" s="212"/>
      <c r="I51" s="77"/>
      <c r="J51" s="77"/>
      <c r="K51" s="77"/>
      <c r="L51" s="77"/>
      <c r="M51" s="77"/>
      <c r="N51" s="77"/>
      <c r="O51" s="77"/>
    </row>
    <row r="52" spans="1:15" ht="16.8" x14ac:dyDescent="0.4">
      <c r="A52" s="168"/>
      <c r="B52" s="209"/>
      <c r="C52" s="209"/>
      <c r="D52" s="209"/>
      <c r="E52" s="209"/>
      <c r="F52" s="210"/>
      <c r="G52" s="77"/>
      <c r="H52" s="208"/>
      <c r="I52" s="77"/>
      <c r="J52" s="77"/>
      <c r="K52" s="77"/>
      <c r="L52" s="77"/>
      <c r="M52" s="77"/>
      <c r="N52" s="77"/>
      <c r="O52" s="77"/>
    </row>
    <row r="53" spans="1:15" ht="15" x14ac:dyDescent="0.25">
      <c r="A53" s="168"/>
      <c r="B53" s="168"/>
      <c r="C53" s="168"/>
      <c r="D53" s="168"/>
      <c r="E53" s="168"/>
      <c r="F53" s="168"/>
      <c r="G53" s="77"/>
      <c r="H53" s="77"/>
      <c r="I53" s="77"/>
      <c r="J53" s="77"/>
      <c r="K53" s="77"/>
      <c r="L53" s="77"/>
      <c r="M53" s="77"/>
      <c r="N53" s="77"/>
      <c r="O53" s="77"/>
    </row>
    <row r="54" spans="1:15" ht="15" x14ac:dyDescent="0.25">
      <c r="A54" s="77"/>
      <c r="B54" s="77"/>
      <c r="C54" s="77"/>
      <c r="D54" s="77"/>
      <c r="E54" s="77"/>
      <c r="F54" s="77"/>
      <c r="G54" s="77"/>
      <c r="H54" s="77"/>
      <c r="I54" s="77"/>
      <c r="J54" s="77"/>
      <c r="K54" s="77"/>
      <c r="L54" s="77"/>
      <c r="M54" s="77"/>
      <c r="N54" s="77"/>
      <c r="O54" s="77"/>
    </row>
    <row r="55" spans="1:15" ht="15" x14ac:dyDescent="0.25">
      <c r="A55" s="77"/>
      <c r="B55" s="77"/>
      <c r="C55" s="77"/>
      <c r="D55" s="77"/>
      <c r="E55" s="77"/>
      <c r="F55" s="77"/>
      <c r="G55" s="77"/>
      <c r="H55" s="77"/>
      <c r="I55" s="77"/>
      <c r="J55" s="77"/>
      <c r="K55" s="77"/>
      <c r="L55" s="77"/>
      <c r="M55" s="77"/>
      <c r="N55" s="77"/>
      <c r="O55" s="77"/>
    </row>
    <row r="56" spans="1:15" ht="15" x14ac:dyDescent="0.25">
      <c r="A56" s="77"/>
      <c r="B56" s="77"/>
      <c r="C56" s="77"/>
      <c r="D56" s="77"/>
      <c r="E56" s="77"/>
      <c r="F56" s="77"/>
      <c r="G56" s="77"/>
      <c r="H56" s="77"/>
      <c r="I56" s="77"/>
      <c r="J56" s="77"/>
      <c r="K56" s="77"/>
      <c r="L56" s="77"/>
      <c r="M56" s="77"/>
      <c r="N56" s="77"/>
      <c r="O56" s="77"/>
    </row>
    <row r="57" spans="1:15" ht="15" x14ac:dyDescent="0.25">
      <c r="A57" s="77"/>
      <c r="B57" s="77"/>
      <c r="C57" s="77"/>
      <c r="D57" s="77"/>
      <c r="E57" s="77"/>
      <c r="F57" s="77"/>
      <c r="G57" s="77"/>
      <c r="H57" s="77"/>
      <c r="I57" s="77"/>
      <c r="J57" s="77"/>
      <c r="K57" s="77"/>
      <c r="L57" s="77"/>
      <c r="M57" s="77"/>
      <c r="N57" s="77"/>
      <c r="O57" s="77"/>
    </row>
    <row r="58" spans="1:15" ht="15" x14ac:dyDescent="0.25">
      <c r="A58" s="77"/>
      <c r="B58" s="77"/>
      <c r="C58" s="77"/>
      <c r="D58" s="77"/>
      <c r="E58" s="77"/>
      <c r="F58" s="77"/>
      <c r="G58" s="77"/>
      <c r="H58" s="77"/>
      <c r="I58" s="77"/>
      <c r="J58" s="77"/>
      <c r="K58" s="77"/>
      <c r="L58" s="77"/>
      <c r="M58" s="77"/>
      <c r="N58" s="77"/>
      <c r="O58" s="77"/>
    </row>
    <row r="59" spans="1:15" ht="15" x14ac:dyDescent="0.25">
      <c r="A59" s="77"/>
      <c r="B59" s="77"/>
      <c r="C59" s="77"/>
      <c r="D59" s="77"/>
      <c r="E59" s="77"/>
      <c r="F59" s="77"/>
      <c r="G59" s="77"/>
      <c r="H59" s="77"/>
      <c r="I59" s="77"/>
      <c r="J59" s="77"/>
      <c r="K59" s="77"/>
      <c r="L59" s="77"/>
      <c r="M59" s="77"/>
      <c r="N59" s="77"/>
      <c r="O59" s="77"/>
    </row>
    <row r="60" spans="1:15" ht="15" x14ac:dyDescent="0.25">
      <c r="A60" s="77"/>
      <c r="B60" s="77"/>
      <c r="C60" s="77"/>
      <c r="D60" s="77"/>
      <c r="E60" s="77"/>
      <c r="F60" s="77"/>
      <c r="G60" s="77"/>
      <c r="H60" s="77"/>
      <c r="I60" s="77"/>
      <c r="J60" s="77"/>
      <c r="K60" s="77"/>
      <c r="L60" s="77"/>
      <c r="M60" s="77"/>
      <c r="N60" s="77"/>
      <c r="O60" s="77"/>
    </row>
    <row r="61" spans="1:15" ht="15" x14ac:dyDescent="0.25">
      <c r="A61" s="77"/>
      <c r="B61" s="77"/>
      <c r="C61" s="77"/>
      <c r="D61" s="77"/>
      <c r="E61" s="77"/>
      <c r="F61" s="77"/>
      <c r="G61" s="77"/>
      <c r="H61" s="77"/>
      <c r="I61" s="77"/>
      <c r="J61" s="77"/>
      <c r="K61" s="77"/>
      <c r="L61" s="77"/>
      <c r="M61" s="77"/>
      <c r="N61" s="77"/>
      <c r="O61" s="77"/>
    </row>
    <row r="62" spans="1:15" ht="15" x14ac:dyDescent="0.25">
      <c r="A62" s="77"/>
      <c r="B62" s="77"/>
      <c r="C62" s="77"/>
      <c r="D62" s="77"/>
      <c r="E62" s="77"/>
      <c r="F62" s="77"/>
      <c r="G62" s="77"/>
      <c r="H62" s="77"/>
      <c r="I62" s="77"/>
      <c r="J62" s="77"/>
      <c r="K62" s="77"/>
      <c r="L62" s="77"/>
      <c r="M62" s="77"/>
      <c r="N62" s="77"/>
      <c r="O62" s="77"/>
    </row>
    <row r="63" spans="1:15" ht="15" x14ac:dyDescent="0.25">
      <c r="A63" s="77"/>
      <c r="B63" s="77"/>
      <c r="C63" s="77"/>
      <c r="D63" s="77"/>
      <c r="E63" s="77"/>
      <c r="F63" s="77"/>
      <c r="G63" s="77"/>
      <c r="H63" s="77"/>
      <c r="I63" s="77"/>
      <c r="J63" s="77"/>
      <c r="K63" s="77"/>
      <c r="L63" s="77"/>
      <c r="M63" s="77"/>
      <c r="N63" s="77"/>
      <c r="O63" s="77"/>
    </row>
    <row r="64" spans="1:15" ht="15" x14ac:dyDescent="0.25">
      <c r="A64" s="77"/>
      <c r="B64" s="77"/>
      <c r="C64" s="77"/>
      <c r="D64" s="77"/>
      <c r="E64" s="77"/>
      <c r="F64" s="77"/>
      <c r="G64" s="77"/>
      <c r="H64" s="77"/>
      <c r="I64" s="77"/>
      <c r="J64" s="77"/>
      <c r="K64" s="77"/>
      <c r="L64" s="77"/>
      <c r="M64" s="77"/>
      <c r="N64" s="77"/>
      <c r="O64" s="77"/>
    </row>
    <row r="65" spans="1:15" ht="15" x14ac:dyDescent="0.25">
      <c r="A65" s="77"/>
      <c r="B65" s="77"/>
      <c r="C65" s="77"/>
      <c r="D65" s="77"/>
      <c r="E65" s="77"/>
      <c r="F65" s="77"/>
      <c r="G65" s="77"/>
      <c r="H65" s="77"/>
      <c r="I65" s="77"/>
      <c r="J65" s="77"/>
      <c r="K65" s="77"/>
      <c r="L65" s="77"/>
      <c r="M65" s="77"/>
      <c r="N65" s="77"/>
      <c r="O65" s="77"/>
    </row>
    <row r="66" spans="1:15" ht="15" x14ac:dyDescent="0.25">
      <c r="A66" s="77"/>
      <c r="B66" s="77"/>
      <c r="C66" s="77"/>
      <c r="D66" s="77"/>
      <c r="E66" s="77"/>
      <c r="F66" s="77"/>
      <c r="G66" s="77"/>
      <c r="H66" s="77"/>
      <c r="I66" s="77"/>
      <c r="J66" s="77"/>
      <c r="K66" s="77"/>
      <c r="L66" s="77"/>
      <c r="M66" s="77"/>
      <c r="N66" s="77"/>
      <c r="O66" s="77"/>
    </row>
    <row r="67" spans="1:15" ht="15" x14ac:dyDescent="0.25">
      <c r="A67" s="77"/>
      <c r="B67" s="77"/>
      <c r="C67" s="77"/>
      <c r="D67" s="77"/>
      <c r="E67" s="77"/>
      <c r="F67" s="77"/>
      <c r="G67" s="77"/>
      <c r="H67" s="77"/>
      <c r="I67" s="77"/>
      <c r="J67" s="77"/>
      <c r="K67" s="77"/>
      <c r="L67" s="77"/>
      <c r="M67" s="77"/>
      <c r="N67" s="77"/>
      <c r="O67" s="77"/>
    </row>
    <row r="68" spans="1:15" ht="15" x14ac:dyDescent="0.25">
      <c r="A68" s="77"/>
      <c r="B68" s="77"/>
      <c r="C68" s="77"/>
      <c r="D68" s="77"/>
      <c r="E68" s="77"/>
      <c r="F68" s="77"/>
      <c r="G68" s="77"/>
      <c r="H68" s="77"/>
      <c r="I68" s="77"/>
      <c r="J68" s="77"/>
      <c r="K68" s="77"/>
      <c r="L68" s="77"/>
      <c r="M68" s="77"/>
      <c r="N68" s="77"/>
      <c r="O68" s="77"/>
    </row>
    <row r="69" spans="1:15" ht="15" x14ac:dyDescent="0.25">
      <c r="A69" s="77"/>
      <c r="B69" s="77"/>
      <c r="C69" s="77"/>
      <c r="D69" s="77"/>
      <c r="E69" s="77"/>
      <c r="F69" s="77"/>
      <c r="G69" s="77"/>
      <c r="H69" s="77"/>
      <c r="I69" s="77"/>
      <c r="J69" s="77"/>
      <c r="K69" s="77"/>
      <c r="L69" s="77"/>
      <c r="M69" s="77"/>
      <c r="N69" s="77"/>
      <c r="O69" s="77"/>
    </row>
    <row r="70" spans="1:15" ht="15" x14ac:dyDescent="0.25">
      <c r="A70" s="77"/>
      <c r="B70" s="77"/>
      <c r="C70" s="77"/>
      <c r="D70" s="77"/>
      <c r="E70" s="77"/>
      <c r="F70" s="77"/>
      <c r="G70" s="77"/>
      <c r="H70" s="77"/>
      <c r="I70" s="77"/>
      <c r="J70" s="77"/>
      <c r="K70" s="77"/>
      <c r="L70" s="77"/>
      <c r="M70" s="77"/>
      <c r="N70" s="77"/>
      <c r="O70" s="77"/>
    </row>
    <row r="71" spans="1:15" ht="15" x14ac:dyDescent="0.25">
      <c r="A71" s="77"/>
      <c r="B71" s="77"/>
      <c r="C71" s="77"/>
      <c r="D71" s="77"/>
      <c r="E71" s="77"/>
      <c r="F71" s="77"/>
      <c r="G71" s="77"/>
      <c r="H71" s="77"/>
      <c r="I71" s="77"/>
      <c r="J71" s="77"/>
      <c r="K71" s="77"/>
      <c r="L71" s="77"/>
      <c r="M71" s="77"/>
      <c r="N71" s="77"/>
      <c r="O71" s="77"/>
    </row>
    <row r="72" spans="1:15" ht="15" x14ac:dyDescent="0.25">
      <c r="A72" s="77"/>
      <c r="B72" s="77"/>
      <c r="C72" s="77"/>
      <c r="D72" s="77"/>
      <c r="E72" s="77"/>
      <c r="F72" s="77"/>
      <c r="G72" s="77"/>
      <c r="H72" s="77"/>
      <c r="I72" s="77"/>
      <c r="J72" s="77"/>
      <c r="K72" s="77"/>
      <c r="L72" s="77"/>
      <c r="M72" s="77"/>
      <c r="N72" s="77"/>
      <c r="O72" s="77"/>
    </row>
    <row r="73" spans="1:15" ht="15" x14ac:dyDescent="0.25">
      <c r="A73" s="77"/>
      <c r="B73" s="77"/>
      <c r="C73" s="77"/>
      <c r="D73" s="77"/>
      <c r="E73" s="77"/>
      <c r="F73" s="77"/>
      <c r="G73" s="77"/>
      <c r="H73" s="77"/>
      <c r="I73" s="77"/>
      <c r="J73" s="77"/>
      <c r="K73" s="77"/>
      <c r="L73" s="77"/>
      <c r="M73" s="77"/>
      <c r="N73" s="77"/>
      <c r="O73" s="77"/>
    </row>
    <row r="74" spans="1:15" ht="15" x14ac:dyDescent="0.25">
      <c r="A74" s="77"/>
      <c r="B74" s="77"/>
      <c r="C74" s="77"/>
      <c r="D74" s="77"/>
      <c r="E74" s="77"/>
      <c r="F74" s="77"/>
      <c r="G74" s="77"/>
      <c r="H74" s="77"/>
      <c r="I74" s="77"/>
      <c r="J74" s="77"/>
      <c r="K74" s="77"/>
      <c r="L74" s="77"/>
      <c r="M74" s="77"/>
      <c r="N74" s="77"/>
      <c r="O74" s="77"/>
    </row>
    <row r="75" spans="1:15" ht="15" x14ac:dyDescent="0.25">
      <c r="A75" s="77"/>
      <c r="B75" s="77"/>
      <c r="C75" s="77"/>
      <c r="D75" s="77"/>
      <c r="E75" s="77"/>
      <c r="F75" s="77"/>
      <c r="G75" s="77"/>
      <c r="H75" s="77"/>
      <c r="I75" s="77"/>
      <c r="J75" s="77"/>
      <c r="K75" s="77"/>
      <c r="L75" s="77"/>
      <c r="M75" s="77"/>
      <c r="N75" s="77"/>
      <c r="O75" s="77"/>
    </row>
    <row r="76" spans="1:15" ht="15" x14ac:dyDescent="0.25">
      <c r="A76" s="77"/>
      <c r="B76" s="77"/>
      <c r="C76" s="77"/>
      <c r="D76" s="77"/>
      <c r="E76" s="77"/>
      <c r="F76" s="77"/>
      <c r="G76" s="77"/>
      <c r="H76" s="77"/>
      <c r="I76" s="77"/>
      <c r="J76" s="77"/>
      <c r="K76" s="77"/>
      <c r="L76" s="77"/>
      <c r="M76" s="77"/>
      <c r="N76" s="77"/>
      <c r="O76" s="77"/>
    </row>
    <row r="77" spans="1:15" ht="15" x14ac:dyDescent="0.25">
      <c r="A77" s="77"/>
      <c r="B77" s="77"/>
      <c r="C77" s="77"/>
      <c r="D77" s="77"/>
      <c r="E77" s="77"/>
      <c r="F77" s="77"/>
      <c r="G77" s="77"/>
      <c r="H77" s="77"/>
      <c r="I77" s="77"/>
      <c r="J77" s="77"/>
      <c r="K77" s="77"/>
      <c r="L77" s="77"/>
      <c r="M77" s="77"/>
      <c r="N77" s="77"/>
      <c r="O77" s="77"/>
    </row>
    <row r="78" spans="1:15" ht="15" x14ac:dyDescent="0.25">
      <c r="A78" s="77"/>
      <c r="B78" s="77"/>
      <c r="C78" s="77"/>
      <c r="D78" s="77"/>
      <c r="E78" s="77"/>
      <c r="F78" s="77"/>
      <c r="G78" s="77"/>
      <c r="H78" s="77"/>
      <c r="I78" s="77"/>
      <c r="J78" s="77"/>
      <c r="K78" s="77"/>
      <c r="L78" s="77"/>
      <c r="M78" s="77"/>
      <c r="N78" s="77"/>
      <c r="O78" s="77"/>
    </row>
    <row r="79" spans="1:15" ht="15" x14ac:dyDescent="0.25">
      <c r="A79" s="77"/>
      <c r="B79" s="77"/>
      <c r="C79" s="77"/>
      <c r="D79" s="77"/>
      <c r="E79" s="77"/>
      <c r="F79" s="77"/>
      <c r="G79" s="77"/>
      <c r="H79" s="77"/>
      <c r="I79" s="77"/>
      <c r="J79" s="77"/>
      <c r="K79" s="77"/>
      <c r="L79" s="77"/>
      <c r="M79" s="77"/>
      <c r="N79" s="77"/>
      <c r="O79" s="77"/>
    </row>
    <row r="80" spans="1:15" ht="15" x14ac:dyDescent="0.25">
      <c r="A80" s="77"/>
      <c r="B80" s="77"/>
      <c r="C80" s="77"/>
      <c r="D80" s="77"/>
      <c r="E80" s="77"/>
      <c r="F80" s="77"/>
      <c r="G80" s="77"/>
      <c r="H80" s="77"/>
      <c r="I80" s="77"/>
      <c r="J80" s="77"/>
      <c r="K80" s="77"/>
      <c r="L80" s="77"/>
      <c r="M80" s="77"/>
      <c r="N80" s="77"/>
      <c r="O80" s="77"/>
    </row>
    <row r="81" spans="1:15" ht="15" x14ac:dyDescent="0.25">
      <c r="A81" s="77"/>
      <c r="B81" s="77"/>
      <c r="C81" s="77"/>
      <c r="D81" s="77"/>
      <c r="E81" s="77"/>
      <c r="F81" s="77"/>
      <c r="G81" s="77"/>
      <c r="H81" s="77"/>
      <c r="I81" s="77"/>
      <c r="J81" s="77"/>
      <c r="K81" s="77"/>
      <c r="L81" s="77"/>
      <c r="M81" s="77"/>
      <c r="N81" s="77"/>
      <c r="O81" s="77"/>
    </row>
    <row r="82" spans="1:15" ht="15" x14ac:dyDescent="0.25">
      <c r="A82" s="77"/>
      <c r="B82" s="77"/>
      <c r="C82" s="77"/>
      <c r="D82" s="77"/>
      <c r="E82" s="77"/>
      <c r="F82" s="77"/>
      <c r="G82" s="77"/>
      <c r="H82" s="77"/>
      <c r="I82" s="77"/>
      <c r="J82" s="77"/>
      <c r="K82" s="77"/>
      <c r="L82" s="77"/>
      <c r="M82" s="77"/>
      <c r="N82" s="77"/>
      <c r="O82" s="77"/>
    </row>
    <row r="83" spans="1:15" ht="15" x14ac:dyDescent="0.25">
      <c r="A83" s="77"/>
      <c r="B83" s="77"/>
      <c r="C83" s="77"/>
      <c r="D83" s="77"/>
      <c r="E83" s="77"/>
      <c r="F83" s="77"/>
      <c r="G83" s="77"/>
      <c r="H83" s="77"/>
      <c r="I83" s="77"/>
      <c r="J83" s="77"/>
      <c r="K83" s="77"/>
      <c r="L83" s="77"/>
      <c r="M83" s="77"/>
      <c r="N83" s="77"/>
      <c r="O83" s="77"/>
    </row>
    <row r="84" spans="1:15" ht="15" x14ac:dyDescent="0.25">
      <c r="A84" s="77"/>
      <c r="B84" s="77"/>
      <c r="C84" s="77"/>
      <c r="D84" s="77"/>
      <c r="E84" s="77"/>
      <c r="F84" s="77"/>
      <c r="G84" s="77"/>
      <c r="H84" s="77"/>
      <c r="I84" s="77"/>
      <c r="J84" s="77"/>
      <c r="K84" s="77"/>
      <c r="L84" s="77"/>
      <c r="M84" s="77"/>
      <c r="N84" s="77"/>
      <c r="O84" s="77"/>
    </row>
    <row r="85" spans="1:15" ht="15" x14ac:dyDescent="0.25">
      <c r="A85" s="77"/>
      <c r="B85" s="77"/>
      <c r="C85" s="77"/>
      <c r="D85" s="77"/>
      <c r="E85" s="77"/>
      <c r="F85" s="77"/>
      <c r="G85" s="77"/>
      <c r="H85" s="77"/>
      <c r="I85" s="77"/>
      <c r="J85" s="77"/>
      <c r="K85" s="77"/>
      <c r="L85" s="77"/>
      <c r="M85" s="77"/>
      <c r="N85" s="77"/>
      <c r="O85" s="77"/>
    </row>
    <row r="86" spans="1:15" ht="15" x14ac:dyDescent="0.25">
      <c r="A86" s="77"/>
      <c r="B86" s="77"/>
      <c r="C86" s="77"/>
      <c r="D86" s="77"/>
      <c r="E86" s="77"/>
      <c r="F86" s="77"/>
      <c r="G86" s="77"/>
      <c r="H86" s="77"/>
      <c r="I86" s="77"/>
      <c r="J86" s="77"/>
      <c r="K86" s="77"/>
      <c r="L86" s="77"/>
      <c r="M86" s="77"/>
      <c r="N86" s="77"/>
      <c r="O86" s="77"/>
    </row>
    <row r="87" spans="1:15" ht="15" x14ac:dyDescent="0.25">
      <c r="A87" s="77"/>
      <c r="B87" s="77"/>
      <c r="C87" s="77"/>
      <c r="D87" s="77"/>
      <c r="E87" s="77"/>
      <c r="F87" s="77"/>
      <c r="G87" s="77"/>
      <c r="H87" s="77"/>
      <c r="I87" s="77"/>
      <c r="J87" s="77"/>
      <c r="K87" s="77"/>
      <c r="L87" s="77"/>
      <c r="M87" s="77"/>
      <c r="N87" s="77"/>
      <c r="O87" s="77"/>
    </row>
    <row r="88" spans="1:15" ht="15" x14ac:dyDescent="0.25">
      <c r="A88" s="77"/>
      <c r="B88" s="77"/>
      <c r="C88" s="77"/>
      <c r="D88" s="77"/>
      <c r="E88" s="77"/>
      <c r="F88" s="77"/>
      <c r="G88" s="77"/>
      <c r="H88" s="77"/>
      <c r="I88" s="77"/>
      <c r="J88" s="77"/>
      <c r="K88" s="77"/>
      <c r="L88" s="77"/>
      <c r="M88" s="77"/>
      <c r="N88" s="77"/>
      <c r="O88" s="77"/>
    </row>
    <row r="89" spans="1:15" ht="15" x14ac:dyDescent="0.25">
      <c r="A89" s="77"/>
      <c r="B89" s="77"/>
      <c r="C89" s="77"/>
      <c r="D89" s="77"/>
      <c r="E89" s="77"/>
      <c r="F89" s="77"/>
      <c r="G89" s="77"/>
      <c r="H89" s="77"/>
      <c r="I89" s="77"/>
      <c r="J89" s="77"/>
      <c r="K89" s="77"/>
      <c r="L89" s="77"/>
      <c r="M89" s="77"/>
      <c r="N89" s="77"/>
      <c r="O89" s="77"/>
    </row>
    <row r="90" spans="1:15" ht="15" x14ac:dyDescent="0.25">
      <c r="A90" s="77"/>
      <c r="B90" s="77"/>
      <c r="C90" s="77"/>
      <c r="D90" s="77"/>
      <c r="E90" s="77"/>
      <c r="F90" s="77"/>
      <c r="G90" s="77"/>
      <c r="H90" s="77"/>
      <c r="I90" s="77"/>
      <c r="J90" s="77"/>
      <c r="K90" s="77"/>
      <c r="L90" s="77"/>
      <c r="M90" s="77"/>
      <c r="N90" s="77"/>
      <c r="O90" s="77"/>
    </row>
    <row r="91" spans="1:15" ht="15" x14ac:dyDescent="0.25">
      <c r="A91" s="77"/>
      <c r="B91" s="77"/>
      <c r="C91" s="77"/>
      <c r="D91" s="77"/>
      <c r="E91" s="77"/>
      <c r="F91" s="77"/>
      <c r="G91" s="77"/>
      <c r="H91" s="77"/>
      <c r="I91" s="77"/>
      <c r="J91" s="77"/>
      <c r="K91" s="77"/>
      <c r="L91" s="77"/>
      <c r="M91" s="77"/>
      <c r="N91" s="77"/>
      <c r="O91" s="77"/>
    </row>
    <row r="92" spans="1:15" ht="15" x14ac:dyDescent="0.25">
      <c r="A92" s="77"/>
      <c r="B92" s="77"/>
      <c r="C92" s="77"/>
      <c r="D92" s="77"/>
      <c r="E92" s="77"/>
      <c r="F92" s="77"/>
      <c r="G92" s="77"/>
      <c r="H92" s="77"/>
      <c r="I92" s="77"/>
      <c r="J92" s="77"/>
      <c r="K92" s="77"/>
      <c r="L92" s="77"/>
      <c r="M92" s="77"/>
      <c r="N92" s="77"/>
      <c r="O92" s="77"/>
    </row>
    <row r="93" spans="1:15" ht="15" x14ac:dyDescent="0.25">
      <c r="A93" s="77"/>
      <c r="B93" s="77"/>
      <c r="C93" s="77"/>
      <c r="D93" s="77"/>
      <c r="E93" s="77"/>
      <c r="F93" s="77"/>
      <c r="G93" s="77"/>
      <c r="H93" s="77"/>
      <c r="I93" s="77"/>
      <c r="J93" s="77"/>
      <c r="K93" s="77"/>
      <c r="L93" s="77"/>
      <c r="M93" s="77"/>
      <c r="N93" s="77"/>
      <c r="O93" s="77"/>
    </row>
    <row r="94" spans="1:15" ht="15" x14ac:dyDescent="0.25">
      <c r="A94" s="77"/>
      <c r="B94" s="77"/>
      <c r="C94" s="77"/>
      <c r="D94" s="77"/>
      <c r="E94" s="77"/>
      <c r="F94" s="77"/>
      <c r="G94" s="77"/>
      <c r="H94" s="77"/>
      <c r="I94" s="77"/>
      <c r="J94" s="77"/>
      <c r="K94" s="77"/>
      <c r="L94" s="77"/>
      <c r="M94" s="77"/>
      <c r="N94" s="77"/>
      <c r="O94" s="77"/>
    </row>
    <row r="95" spans="1:15" ht="15" x14ac:dyDescent="0.25">
      <c r="A95" s="77"/>
      <c r="B95" s="77"/>
      <c r="C95" s="77"/>
      <c r="D95" s="77"/>
      <c r="E95" s="77"/>
      <c r="F95" s="77"/>
      <c r="G95" s="77"/>
      <c r="H95" s="77"/>
      <c r="I95" s="77"/>
      <c r="J95" s="77"/>
      <c r="K95" s="77"/>
      <c r="L95" s="77"/>
      <c r="M95" s="77"/>
      <c r="N95" s="77"/>
      <c r="O95" s="77"/>
    </row>
    <row r="96" spans="1:15" ht="15" x14ac:dyDescent="0.25">
      <c r="A96" s="77"/>
      <c r="B96" s="77"/>
      <c r="C96" s="77"/>
      <c r="D96" s="77"/>
      <c r="E96" s="77"/>
      <c r="F96" s="77"/>
      <c r="G96" s="77"/>
      <c r="H96" s="77"/>
      <c r="I96" s="77"/>
      <c r="J96" s="77"/>
      <c r="K96" s="77"/>
      <c r="L96" s="77"/>
      <c r="M96" s="77"/>
      <c r="N96" s="77"/>
      <c r="O96" s="77"/>
    </row>
    <row r="97" spans="1:15" ht="15" x14ac:dyDescent="0.25">
      <c r="A97" s="77"/>
      <c r="B97" s="77"/>
      <c r="C97" s="77"/>
      <c r="D97" s="77"/>
      <c r="E97" s="77"/>
      <c r="F97" s="77"/>
      <c r="G97" s="77"/>
      <c r="H97" s="77"/>
      <c r="I97" s="77"/>
      <c r="J97" s="77"/>
      <c r="K97" s="77"/>
      <c r="L97" s="77"/>
      <c r="M97" s="77"/>
      <c r="N97" s="77"/>
      <c r="O97" s="77"/>
    </row>
    <row r="98" spans="1:15" ht="15" x14ac:dyDescent="0.25">
      <c r="A98" s="77"/>
      <c r="B98" s="77"/>
      <c r="C98" s="77"/>
      <c r="D98" s="77"/>
      <c r="E98" s="77"/>
      <c r="F98" s="77"/>
      <c r="G98" s="77"/>
      <c r="H98" s="77"/>
      <c r="I98" s="77"/>
      <c r="J98" s="77"/>
      <c r="K98" s="77"/>
      <c r="L98" s="77"/>
      <c r="M98" s="77"/>
      <c r="N98" s="77"/>
      <c r="O98" s="77"/>
    </row>
    <row r="99" spans="1:15" ht="15" x14ac:dyDescent="0.25">
      <c r="A99" s="77"/>
      <c r="B99" s="77"/>
      <c r="C99" s="77"/>
      <c r="D99" s="77"/>
      <c r="E99" s="77"/>
      <c r="F99" s="77"/>
      <c r="G99" s="77"/>
      <c r="H99" s="77"/>
      <c r="I99" s="77"/>
      <c r="J99" s="77"/>
      <c r="K99" s="77"/>
      <c r="L99" s="77"/>
      <c r="M99" s="77"/>
      <c r="N99" s="77"/>
      <c r="O99" s="77"/>
    </row>
    <row r="100" spans="1:15" ht="15.6" thickBot="1" x14ac:dyDescent="0.3">
      <c r="A100" s="77"/>
      <c r="B100" s="77"/>
      <c r="C100" s="77"/>
      <c r="D100" s="77"/>
      <c r="E100" s="77"/>
      <c r="F100" s="77"/>
      <c r="G100" s="77"/>
      <c r="H100" s="77"/>
      <c r="I100" s="77"/>
      <c r="J100" s="77"/>
      <c r="K100" s="77"/>
      <c r="L100" s="77"/>
      <c r="M100" s="77"/>
      <c r="N100" s="77"/>
      <c r="O100" s="77"/>
    </row>
    <row r="101" spans="1:15" ht="15" x14ac:dyDescent="0.25">
      <c r="A101" s="894" t="s">
        <v>195</v>
      </c>
      <c r="B101" s="895"/>
      <c r="C101" s="895"/>
      <c r="D101" s="895"/>
      <c r="E101" s="895"/>
      <c r="F101" s="896"/>
      <c r="G101" s="77"/>
      <c r="H101" s="77"/>
      <c r="I101" s="77"/>
      <c r="J101" s="77"/>
      <c r="K101" s="77"/>
      <c r="L101" s="77"/>
      <c r="M101" s="77"/>
      <c r="N101" s="77"/>
      <c r="O101" s="77"/>
    </row>
    <row r="102" spans="1:15" ht="15.6" thickBot="1" x14ac:dyDescent="0.3">
      <c r="A102" s="897"/>
      <c r="B102" s="898"/>
      <c r="C102" s="898"/>
      <c r="D102" s="898"/>
      <c r="E102" s="898"/>
      <c r="F102" s="899"/>
      <c r="G102" s="77"/>
      <c r="H102" s="77"/>
      <c r="I102" s="77"/>
      <c r="J102" s="77"/>
      <c r="K102" s="77"/>
      <c r="L102" s="77"/>
      <c r="M102" s="77"/>
      <c r="N102" s="77"/>
      <c r="O102" s="77"/>
    </row>
    <row r="103" spans="1:15" ht="15" x14ac:dyDescent="0.25">
      <c r="A103" s="162" t="s">
        <v>5</v>
      </c>
      <c r="B103" s="161" t="s">
        <v>6</v>
      </c>
      <c r="C103" s="161" t="s">
        <v>13</v>
      </c>
      <c r="D103" s="161" t="s">
        <v>82</v>
      </c>
      <c r="E103" s="161" t="s">
        <v>115</v>
      </c>
      <c r="F103" s="163" t="s">
        <v>116</v>
      </c>
      <c r="G103" s="77"/>
      <c r="H103" s="77"/>
      <c r="I103" s="77"/>
      <c r="J103" s="77"/>
      <c r="K103" s="77"/>
      <c r="L103" s="77"/>
      <c r="M103" s="77"/>
      <c r="N103" s="77"/>
      <c r="O103" s="77"/>
    </row>
    <row r="104" spans="1:15" ht="15" x14ac:dyDescent="0.25">
      <c r="A104" s="104" t="s">
        <v>239</v>
      </c>
      <c r="B104" s="106"/>
      <c r="C104" s="106"/>
      <c r="D104" s="105"/>
      <c r="E104" s="106"/>
      <c r="F104" s="107"/>
      <c r="G104" s="77"/>
      <c r="H104" s="77"/>
      <c r="I104" s="77"/>
      <c r="J104" s="77"/>
      <c r="K104" s="77"/>
      <c r="L104" s="77"/>
      <c r="M104" s="77"/>
      <c r="N104" s="77"/>
      <c r="O104" s="77"/>
    </row>
    <row r="105" spans="1:15" ht="30" x14ac:dyDescent="0.25">
      <c r="A105" s="104" t="s">
        <v>91</v>
      </c>
      <c r="B105" s="106" t="s">
        <v>190</v>
      </c>
      <c r="C105" s="106" t="s">
        <v>18</v>
      </c>
      <c r="D105" s="105" t="s">
        <v>8</v>
      </c>
      <c r="E105" s="106" t="s">
        <v>36</v>
      </c>
      <c r="F105" s="107" t="s">
        <v>29</v>
      </c>
      <c r="G105" s="77"/>
      <c r="H105" s="77"/>
      <c r="I105" s="77"/>
      <c r="J105" s="77"/>
      <c r="K105" s="77"/>
      <c r="L105" s="77"/>
      <c r="M105" s="77"/>
      <c r="N105" s="77"/>
      <c r="O105" s="77"/>
    </row>
    <row r="106" spans="1:15" ht="30" x14ac:dyDescent="0.25">
      <c r="A106" s="117" t="s">
        <v>27</v>
      </c>
      <c r="B106" s="106" t="s">
        <v>192</v>
      </c>
      <c r="C106" s="106" t="s">
        <v>15</v>
      </c>
      <c r="D106" s="105" t="s">
        <v>84</v>
      </c>
      <c r="E106" s="106" t="s">
        <v>35</v>
      </c>
      <c r="F106" s="107" t="s">
        <v>28</v>
      </c>
      <c r="G106" s="77"/>
      <c r="H106" s="77"/>
      <c r="I106" s="77"/>
      <c r="J106" s="77"/>
      <c r="K106" s="77"/>
      <c r="L106" s="77"/>
      <c r="M106" s="77"/>
      <c r="N106" s="77"/>
      <c r="O106" s="77"/>
    </row>
    <row r="107" spans="1:15" ht="30" x14ac:dyDescent="0.25">
      <c r="A107" s="117" t="s">
        <v>125</v>
      </c>
      <c r="B107" s="106" t="s">
        <v>191</v>
      </c>
      <c r="C107" s="106" t="s">
        <v>16</v>
      </c>
      <c r="D107" s="105"/>
      <c r="E107" s="106" t="s">
        <v>46</v>
      </c>
      <c r="F107" s="107" t="s">
        <v>34</v>
      </c>
      <c r="G107" s="77"/>
      <c r="H107" s="77"/>
      <c r="I107" s="77"/>
      <c r="J107" s="77"/>
      <c r="K107" s="77"/>
      <c r="L107" s="77"/>
      <c r="M107" s="77"/>
      <c r="N107" s="77"/>
      <c r="O107" s="77"/>
    </row>
    <row r="108" spans="1:15" ht="15" x14ac:dyDescent="0.25">
      <c r="A108" s="104" t="s">
        <v>128</v>
      </c>
      <c r="B108" s="106" t="s">
        <v>193</v>
      </c>
      <c r="C108" s="106" t="s">
        <v>20</v>
      </c>
      <c r="D108" s="105"/>
      <c r="E108" s="106" t="s">
        <v>142</v>
      </c>
      <c r="F108" s="107" t="s">
        <v>142</v>
      </c>
      <c r="G108" s="77"/>
      <c r="H108" s="77"/>
      <c r="I108" s="77"/>
      <c r="J108" s="77"/>
      <c r="K108" s="77"/>
      <c r="L108" s="77"/>
      <c r="M108" s="77"/>
      <c r="N108" s="77"/>
      <c r="O108" s="77"/>
    </row>
    <row r="109" spans="1:15" ht="15" x14ac:dyDescent="0.25">
      <c r="A109" s="117" t="s">
        <v>92</v>
      </c>
      <c r="B109" s="105"/>
      <c r="C109" s="106" t="s">
        <v>19</v>
      </c>
      <c r="D109" s="105"/>
      <c r="E109" s="106" t="s">
        <v>37</v>
      </c>
      <c r="F109" s="107" t="s">
        <v>30</v>
      </c>
      <c r="G109" s="77"/>
      <c r="H109" s="77"/>
      <c r="I109" s="77"/>
      <c r="J109" s="77"/>
      <c r="K109" s="77"/>
      <c r="L109" s="77"/>
      <c r="M109" s="77"/>
      <c r="N109" s="77"/>
      <c r="O109" s="77"/>
    </row>
    <row r="110" spans="1:15" ht="15" x14ac:dyDescent="0.25">
      <c r="A110" s="104" t="s">
        <v>194</v>
      </c>
      <c r="B110" s="105"/>
      <c r="C110" s="106" t="s">
        <v>21</v>
      </c>
      <c r="D110" s="105"/>
      <c r="E110" s="106" t="s">
        <v>117</v>
      </c>
      <c r="F110" s="107" t="s">
        <v>121</v>
      </c>
      <c r="G110" s="77"/>
      <c r="H110" s="77"/>
      <c r="I110" s="77"/>
      <c r="J110" s="77"/>
      <c r="K110" s="77"/>
      <c r="L110" s="77"/>
      <c r="M110" s="77"/>
      <c r="N110" s="77"/>
      <c r="O110" s="77"/>
    </row>
    <row r="111" spans="1:15" ht="30" x14ac:dyDescent="0.25">
      <c r="A111" s="104" t="s">
        <v>11</v>
      </c>
      <c r="B111" s="105"/>
      <c r="C111" s="106" t="s">
        <v>14</v>
      </c>
      <c r="D111" s="105"/>
      <c r="E111" s="106" t="s">
        <v>42</v>
      </c>
      <c r="F111" s="107" t="s">
        <v>40</v>
      </c>
      <c r="G111" s="77"/>
      <c r="H111" s="77"/>
      <c r="I111" s="77"/>
      <c r="J111" s="77"/>
      <c r="K111" s="77"/>
      <c r="L111" s="77"/>
      <c r="M111" s="77"/>
      <c r="N111" s="77"/>
      <c r="O111" s="77"/>
    </row>
    <row r="112" spans="1:15" ht="15" x14ac:dyDescent="0.25">
      <c r="A112" s="104" t="s">
        <v>1</v>
      </c>
      <c r="B112" s="105"/>
      <c r="C112" s="106" t="s">
        <v>17</v>
      </c>
      <c r="D112" s="105"/>
      <c r="E112" s="106" t="s">
        <v>38</v>
      </c>
      <c r="F112" s="107" t="s">
        <v>31</v>
      </c>
      <c r="G112" s="77"/>
      <c r="H112" s="77"/>
      <c r="I112" s="77"/>
      <c r="J112" s="77"/>
      <c r="K112" s="77"/>
      <c r="L112" s="77"/>
      <c r="M112" s="77"/>
      <c r="N112" s="77"/>
      <c r="O112" s="77"/>
    </row>
    <row r="113" spans="1:15" ht="15" x14ac:dyDescent="0.25">
      <c r="A113" s="117" t="s">
        <v>4</v>
      </c>
      <c r="B113" s="105"/>
      <c r="C113" s="106"/>
      <c r="D113" s="105"/>
      <c r="E113" s="106" t="s">
        <v>41</v>
      </c>
      <c r="F113" s="107" t="s">
        <v>39</v>
      </c>
      <c r="G113" s="77"/>
      <c r="H113" s="77"/>
      <c r="I113" s="77"/>
      <c r="J113" s="77"/>
      <c r="K113" s="77"/>
      <c r="L113" s="77"/>
      <c r="M113" s="77"/>
      <c r="N113" s="77"/>
      <c r="O113" s="77"/>
    </row>
    <row r="114" spans="1:15" ht="15" x14ac:dyDescent="0.25">
      <c r="A114" s="117" t="s">
        <v>126</v>
      </c>
      <c r="B114" s="105"/>
      <c r="C114" s="106"/>
      <c r="D114" s="105"/>
      <c r="E114" s="106" t="s">
        <v>43</v>
      </c>
      <c r="F114" s="107" t="s">
        <v>120</v>
      </c>
      <c r="G114" s="77"/>
      <c r="H114" s="77"/>
      <c r="I114" s="77"/>
      <c r="J114" s="77"/>
      <c r="K114" s="77"/>
      <c r="L114" s="77"/>
      <c r="M114" s="77"/>
      <c r="N114" s="77"/>
      <c r="O114" s="77"/>
    </row>
    <row r="115" spans="1:15" x14ac:dyDescent="0.25">
      <c r="A115" t="s">
        <v>238</v>
      </c>
      <c r="E115" t="s">
        <v>118</v>
      </c>
      <c r="F115" t="s">
        <v>122</v>
      </c>
    </row>
    <row r="116" spans="1:15" x14ac:dyDescent="0.25">
      <c r="A116" t="s">
        <v>183</v>
      </c>
      <c r="E116" t="s">
        <v>45</v>
      </c>
      <c r="F116" t="s">
        <v>32</v>
      </c>
    </row>
  </sheetData>
  <mergeCells count="7">
    <mergeCell ref="A101:F102"/>
    <mergeCell ref="A1:O1"/>
    <mergeCell ref="A3:O3"/>
    <mergeCell ref="A11:O11"/>
    <mergeCell ref="A29:O29"/>
    <mergeCell ref="A41:O41"/>
    <mergeCell ref="A42:F42"/>
  </mergeCells>
  <dataValidations disablePrompts="1" count="7">
    <dataValidation type="list" allowBlank="1" showInputMessage="1" showErrorMessage="1" sqref="G5:G10 G20:G27 G31 G14:G17" xr:uid="{00000000-0002-0000-2400-000000000000}">
      <formula1>$C$104:$C$112</formula1>
    </dataValidation>
    <dataValidation type="list" allowBlank="1" showInputMessage="1" showErrorMessage="1" sqref="A5:A10 A31:A32 A14:A17 A20:A27" xr:uid="{00000000-0002-0000-2400-000001000000}">
      <formula1>$D$104:$D$106</formula1>
    </dataValidation>
    <dataValidation type="list" allowBlank="1" showInputMessage="1" showErrorMessage="1" sqref="B5:B10 B31 B14:B17 B20:B27" xr:uid="{00000000-0002-0000-2400-000002000000}">
      <formula1>$B$104:$B$108</formula1>
    </dataValidation>
    <dataValidation type="list" allowBlank="1" showInputMessage="1" showErrorMessage="1" sqref="E5:E10 E14:E17 E31 E20:E27" xr:uid="{00000000-0002-0000-2400-000003000000}">
      <formula1>$F$104:$F$118</formula1>
    </dataValidation>
    <dataValidation type="list" allowBlank="1" showInputMessage="1" showErrorMessage="1" sqref="F5:F10 F14:F17 F31 F20:F27" xr:uid="{00000000-0002-0000-2400-000004000000}">
      <formula1>$E$104:$E$118</formula1>
    </dataValidation>
    <dataValidation type="list" allowBlank="1" showInputMessage="1" showErrorMessage="1" sqref="C20:D27 C14:D17 C31:D31 C5:D10" xr:uid="{00000000-0002-0000-2400-000005000000}">
      <formula1>$A$104:$A$116</formula1>
    </dataValidation>
    <dataValidation type="list" allowBlank="1" showInputMessage="1" showErrorMessage="1" sqref="C32:D40" xr:uid="{00000000-0002-0000-2400-000006000000}">
      <formula1>#REF!</formula1>
    </dataValidation>
  </dataValidations>
  <pageMargins left="0.7" right="0.7" top="0.75" bottom="0.75" header="0.3" footer="0.3"/>
  <legacyDrawing r:id="rId1"/>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18">
    <tabColor rgb="FFFF0000"/>
  </sheetPr>
  <dimension ref="A1:S115"/>
  <sheetViews>
    <sheetView topLeftCell="D22" zoomScale="60" zoomScaleNormal="60" workbookViewId="0">
      <selection activeCell="DD94" sqref="DD94"/>
    </sheetView>
  </sheetViews>
  <sheetFormatPr defaultColWidth="8.77734375" defaultRowHeight="13.2" x14ac:dyDescent="0.25"/>
  <cols>
    <col min="1" max="1" width="26.44140625" customWidth="1"/>
    <col min="2" max="2" width="20.44140625"/>
    <col min="3" max="3" width="20.44140625" customWidth="1"/>
    <col min="4" max="16" width="20.44140625"/>
    <col min="17" max="17" width="23.6640625" bestFit="1" customWidth="1"/>
    <col min="18" max="18" width="14.77734375" bestFit="1" customWidth="1"/>
  </cols>
  <sheetData>
    <row r="1" spans="1:19" ht="18" thickBot="1" x14ac:dyDescent="0.3">
      <c r="A1" s="900" t="s">
        <v>189</v>
      </c>
      <c r="B1" s="900"/>
      <c r="C1" s="900"/>
      <c r="D1" s="900"/>
      <c r="E1" s="900"/>
      <c r="F1" s="900"/>
      <c r="G1" s="900"/>
      <c r="H1" s="900"/>
      <c r="I1" s="900"/>
      <c r="J1" s="900"/>
      <c r="K1" s="900"/>
      <c r="L1" s="900"/>
      <c r="M1" s="900"/>
      <c r="N1" s="900"/>
      <c r="O1" s="900"/>
      <c r="P1" s="77"/>
      <c r="Q1" s="76"/>
    </row>
    <row r="2" spans="1:19" ht="17.399999999999999" x14ac:dyDescent="0.25">
      <c r="A2" s="298" t="s">
        <v>188</v>
      </c>
      <c r="B2" s="175">
        <v>40939</v>
      </c>
      <c r="C2" s="298"/>
      <c r="D2" s="298"/>
      <c r="E2" s="298"/>
      <c r="F2" s="298"/>
      <c r="G2" s="298"/>
      <c r="H2" s="298"/>
      <c r="I2" s="298"/>
      <c r="J2" s="298"/>
      <c r="K2" s="298"/>
      <c r="L2" s="298"/>
      <c r="M2" s="298"/>
      <c r="N2" s="298"/>
      <c r="O2" s="298"/>
      <c r="P2" s="77"/>
      <c r="Q2" s="76"/>
    </row>
    <row r="3" spans="1:19" ht="15" x14ac:dyDescent="0.25">
      <c r="A3" s="901" t="s">
        <v>204</v>
      </c>
      <c r="B3" s="902"/>
      <c r="C3" s="902"/>
      <c r="D3" s="902"/>
      <c r="E3" s="902"/>
      <c r="F3" s="902"/>
      <c r="G3" s="902"/>
      <c r="H3" s="902"/>
      <c r="I3" s="902"/>
      <c r="J3" s="902"/>
      <c r="K3" s="902"/>
      <c r="L3" s="902"/>
      <c r="M3" s="902"/>
      <c r="N3" s="902"/>
      <c r="O3" s="903"/>
      <c r="P3" s="75"/>
      <c r="Q3" s="76"/>
    </row>
    <row r="4" spans="1:19" ht="60" x14ac:dyDescent="0.25">
      <c r="A4" s="176" t="s">
        <v>89</v>
      </c>
      <c r="B4" s="176" t="s">
        <v>90</v>
      </c>
      <c r="C4" s="177" t="s">
        <v>0</v>
      </c>
      <c r="D4" s="177" t="s">
        <v>124</v>
      </c>
      <c r="E4" s="176" t="s">
        <v>143</v>
      </c>
      <c r="F4" s="176" t="s">
        <v>144</v>
      </c>
      <c r="G4" s="176" t="s">
        <v>13</v>
      </c>
      <c r="H4" s="176" t="s">
        <v>88</v>
      </c>
      <c r="I4" s="176" t="s">
        <v>12</v>
      </c>
      <c r="J4" s="176" t="s">
        <v>158</v>
      </c>
      <c r="K4" s="176" t="s">
        <v>148</v>
      </c>
      <c r="L4" s="176" t="s">
        <v>153</v>
      </c>
      <c r="M4" s="176" t="s">
        <v>104</v>
      </c>
      <c r="N4" s="176" t="s">
        <v>154</v>
      </c>
      <c r="O4" s="176" t="s">
        <v>205</v>
      </c>
      <c r="P4" s="77"/>
      <c r="Q4" s="76"/>
    </row>
    <row r="5" spans="1:19" ht="30" x14ac:dyDescent="0.25">
      <c r="A5" s="82" t="s">
        <v>84</v>
      </c>
      <c r="B5" s="83" t="s">
        <v>3</v>
      </c>
      <c r="C5" s="83" t="s">
        <v>1</v>
      </c>
      <c r="D5" s="83" t="s">
        <v>1</v>
      </c>
      <c r="E5" s="84" t="s">
        <v>120</v>
      </c>
      <c r="F5" s="84" t="s">
        <v>42</v>
      </c>
      <c r="G5" s="83" t="s">
        <v>14</v>
      </c>
      <c r="H5" s="85">
        <v>44423</v>
      </c>
      <c r="I5" s="83" t="s">
        <v>23</v>
      </c>
      <c r="J5" s="173">
        <v>143.66499999999999</v>
      </c>
      <c r="K5" s="296">
        <v>125.28</v>
      </c>
      <c r="L5" s="144">
        <f>N5-M5</f>
        <v>18.939999999999998</v>
      </c>
      <c r="M5" s="296">
        <v>2.1</v>
      </c>
      <c r="N5" s="296">
        <v>21.04</v>
      </c>
      <c r="O5" s="288"/>
      <c r="P5" s="77"/>
      <c r="Q5" s="320"/>
      <c r="S5" s="321"/>
    </row>
    <row r="6" spans="1:19" ht="30" x14ac:dyDescent="0.25">
      <c r="A6" s="90" t="s">
        <v>84</v>
      </c>
      <c r="B6" s="91" t="s">
        <v>3</v>
      </c>
      <c r="C6" s="91" t="s">
        <v>1</v>
      </c>
      <c r="D6" s="91" t="s">
        <v>1</v>
      </c>
      <c r="E6" s="92" t="s">
        <v>120</v>
      </c>
      <c r="F6" s="91" t="s">
        <v>42</v>
      </c>
      <c r="G6" s="91" t="s">
        <v>14</v>
      </c>
      <c r="H6" s="93">
        <v>44576</v>
      </c>
      <c r="I6" s="91" t="s">
        <v>24</v>
      </c>
      <c r="J6" s="174">
        <v>27.395</v>
      </c>
      <c r="K6" s="295">
        <v>27.2575</v>
      </c>
      <c r="L6" s="295">
        <f>N6-M6</f>
        <v>5.0599999999999996</v>
      </c>
      <c r="M6" s="295">
        <v>0.08</v>
      </c>
      <c r="N6" s="295">
        <v>5.14</v>
      </c>
      <c r="O6" s="289"/>
      <c r="P6" s="77"/>
      <c r="Q6" s="77"/>
    </row>
    <row r="7" spans="1:19" ht="75" customHeight="1" x14ac:dyDescent="0.25">
      <c r="A7" s="82" t="s">
        <v>84</v>
      </c>
      <c r="B7" s="83" t="s">
        <v>3</v>
      </c>
      <c r="C7" s="83" t="s">
        <v>194</v>
      </c>
      <c r="D7" s="83" t="s">
        <v>194</v>
      </c>
      <c r="E7" s="84" t="s">
        <v>39</v>
      </c>
      <c r="F7" s="84" t="s">
        <v>36</v>
      </c>
      <c r="G7" s="83" t="s">
        <v>14</v>
      </c>
      <c r="H7" s="85">
        <v>44576</v>
      </c>
      <c r="I7" s="83" t="s">
        <v>24</v>
      </c>
      <c r="J7" s="173">
        <v>26.85</v>
      </c>
      <c r="K7" s="296">
        <v>26.74</v>
      </c>
      <c r="L7" s="296">
        <f>N7-M7</f>
        <v>4.25</v>
      </c>
      <c r="M7" s="296">
        <v>0.8</v>
      </c>
      <c r="N7" s="296">
        <v>5.05</v>
      </c>
      <c r="O7" s="288"/>
      <c r="P7" s="77"/>
      <c r="Q7" s="320"/>
    </row>
    <row r="8" spans="1:19" ht="65.25" customHeight="1" x14ac:dyDescent="0.25">
      <c r="A8" s="90" t="s">
        <v>84</v>
      </c>
      <c r="B8" s="91" t="s">
        <v>3</v>
      </c>
      <c r="C8" s="91" t="s">
        <v>11</v>
      </c>
      <c r="D8" s="91" t="s">
        <v>125</v>
      </c>
      <c r="E8" s="92" t="s">
        <v>39</v>
      </c>
      <c r="F8" s="91" t="s">
        <v>38</v>
      </c>
      <c r="G8" s="91" t="s">
        <v>14</v>
      </c>
      <c r="H8" s="93">
        <v>46296</v>
      </c>
      <c r="I8" s="91" t="s">
        <v>25</v>
      </c>
      <c r="J8" s="174">
        <v>40.875</v>
      </c>
      <c r="K8" s="174">
        <v>39.75</v>
      </c>
      <c r="L8" s="295">
        <f>N8-M8</f>
        <v>7.17</v>
      </c>
      <c r="M8" s="174">
        <v>0.1</v>
      </c>
      <c r="N8" s="174">
        <v>7.27</v>
      </c>
      <c r="O8" s="289"/>
      <c r="P8" s="77"/>
      <c r="Q8" s="320"/>
    </row>
    <row r="9" spans="1:19" ht="40.5" customHeight="1" x14ac:dyDescent="0.25">
      <c r="A9" s="98"/>
      <c r="B9" s="111"/>
      <c r="C9" s="111"/>
      <c r="D9" s="111"/>
      <c r="E9" s="123"/>
      <c r="F9" s="111"/>
      <c r="G9" s="111"/>
      <c r="H9" s="114"/>
      <c r="I9" s="111"/>
      <c r="J9" s="189"/>
      <c r="K9" s="189"/>
      <c r="L9" s="189"/>
      <c r="M9" s="189" t="s">
        <v>75</v>
      </c>
      <c r="N9" s="190"/>
      <c r="O9" s="190"/>
      <c r="P9" s="97"/>
      <c r="Q9" s="97"/>
    </row>
    <row r="10" spans="1:19" ht="44.25" customHeight="1" x14ac:dyDescent="0.25">
      <c r="A10" s="90"/>
      <c r="B10" s="91"/>
      <c r="C10" s="91"/>
      <c r="D10" s="91"/>
      <c r="E10" s="92"/>
      <c r="F10" s="91"/>
      <c r="G10" s="91"/>
      <c r="H10" s="93"/>
      <c r="I10" s="91"/>
      <c r="J10" s="174"/>
      <c r="K10" s="174"/>
      <c r="L10" s="174"/>
      <c r="M10" s="174"/>
      <c r="N10" s="289"/>
      <c r="O10" s="289"/>
      <c r="P10" s="77"/>
      <c r="Q10" s="77"/>
    </row>
    <row r="11" spans="1:19" ht="15" x14ac:dyDescent="0.25">
      <c r="A11" s="901" t="s">
        <v>203</v>
      </c>
      <c r="B11" s="902"/>
      <c r="C11" s="902"/>
      <c r="D11" s="902"/>
      <c r="E11" s="902"/>
      <c r="F11" s="902"/>
      <c r="G11" s="902"/>
      <c r="H11" s="902"/>
      <c r="I11" s="902"/>
      <c r="J11" s="902"/>
      <c r="K11" s="902"/>
      <c r="L11" s="902"/>
      <c r="M11" s="902"/>
      <c r="N11" s="902"/>
      <c r="O11" s="903"/>
      <c r="P11" s="97"/>
      <c r="Q11" s="97"/>
    </row>
    <row r="12" spans="1:19" ht="60" x14ac:dyDescent="0.25">
      <c r="A12" s="176" t="s">
        <v>89</v>
      </c>
      <c r="B12" s="176" t="s">
        <v>90</v>
      </c>
      <c r="C12" s="177" t="s">
        <v>0</v>
      </c>
      <c r="D12" s="180" t="s">
        <v>124</v>
      </c>
      <c r="E12" s="176" t="s">
        <v>143</v>
      </c>
      <c r="F12" s="176" t="s">
        <v>144</v>
      </c>
      <c r="G12" s="176" t="s">
        <v>13</v>
      </c>
      <c r="H12" s="176" t="s">
        <v>88</v>
      </c>
      <c r="I12" s="176" t="s">
        <v>12</v>
      </c>
      <c r="J12" s="176" t="s">
        <v>150</v>
      </c>
      <c r="K12" s="176" t="s">
        <v>151</v>
      </c>
      <c r="L12" s="176" t="s">
        <v>157</v>
      </c>
      <c r="M12" s="176" t="s">
        <v>149</v>
      </c>
      <c r="N12" s="176" t="s">
        <v>154</v>
      </c>
      <c r="O12" s="176" t="s">
        <v>205</v>
      </c>
      <c r="P12" s="97"/>
      <c r="Q12" s="97"/>
    </row>
    <row r="13" spans="1:19" ht="15" x14ac:dyDescent="0.25">
      <c r="A13" s="184" t="s">
        <v>197</v>
      </c>
      <c r="B13" s="184"/>
      <c r="C13" s="185"/>
      <c r="D13" s="185"/>
      <c r="E13" s="184"/>
      <c r="F13" s="184"/>
      <c r="G13" s="184"/>
      <c r="H13" s="184"/>
      <c r="I13" s="184"/>
      <c r="J13" s="184"/>
      <c r="K13" s="184"/>
      <c r="L13" s="184"/>
      <c r="M13" s="184"/>
      <c r="N13" s="184"/>
      <c r="O13" s="186"/>
      <c r="P13" s="178"/>
      <c r="Q13" s="178"/>
    </row>
    <row r="14" spans="1:19" ht="30" x14ac:dyDescent="0.25">
      <c r="A14" s="90" t="s">
        <v>84</v>
      </c>
      <c r="B14" s="91" t="s">
        <v>7</v>
      </c>
      <c r="C14" s="91" t="s">
        <v>238</v>
      </c>
      <c r="D14" s="91" t="s">
        <v>239</v>
      </c>
      <c r="E14" s="92" t="s">
        <v>32</v>
      </c>
      <c r="F14" s="91" t="s">
        <v>45</v>
      </c>
      <c r="G14" s="91" t="s">
        <v>22</v>
      </c>
      <c r="H14" s="93">
        <v>41090</v>
      </c>
      <c r="I14" s="91" t="s">
        <v>176</v>
      </c>
      <c r="J14" s="289">
        <v>33.979999999999997</v>
      </c>
      <c r="K14" s="289">
        <v>20.75</v>
      </c>
      <c r="L14" s="289">
        <f>+J14-K14</f>
        <v>13.229999999999997</v>
      </c>
      <c r="M14" s="289"/>
      <c r="N14" s="289"/>
      <c r="O14" s="289"/>
      <c r="P14" s="77"/>
      <c r="Q14" s="77"/>
    </row>
    <row r="15" spans="1:19" ht="30" x14ac:dyDescent="0.25">
      <c r="A15" s="82" t="s">
        <v>8</v>
      </c>
      <c r="B15" s="83" t="s">
        <v>7</v>
      </c>
      <c r="C15" s="83" t="s">
        <v>238</v>
      </c>
      <c r="D15" s="83" t="s">
        <v>239</v>
      </c>
      <c r="E15" s="84" t="s">
        <v>32</v>
      </c>
      <c r="F15" s="84" t="s">
        <v>45</v>
      </c>
      <c r="G15" s="83" t="s">
        <v>22</v>
      </c>
      <c r="H15" s="85">
        <v>41455</v>
      </c>
      <c r="I15" s="83" t="s">
        <v>131</v>
      </c>
      <c r="J15" s="288">
        <v>26.06</v>
      </c>
      <c r="K15" s="288">
        <v>0</v>
      </c>
      <c r="L15" s="288">
        <f>+J15-K15</f>
        <v>26.06</v>
      </c>
      <c r="M15" s="288"/>
      <c r="N15" s="288"/>
      <c r="O15" s="288"/>
      <c r="P15" s="77"/>
      <c r="Q15" s="77"/>
    </row>
    <row r="16" spans="1:19" ht="30" x14ac:dyDescent="0.25">
      <c r="A16" s="90" t="s">
        <v>8</v>
      </c>
      <c r="B16" s="91" t="s">
        <v>193</v>
      </c>
      <c r="C16" s="91" t="s">
        <v>238</v>
      </c>
      <c r="D16" s="91" t="s">
        <v>239</v>
      </c>
      <c r="E16" s="92" t="s">
        <v>32</v>
      </c>
      <c r="F16" s="91" t="s">
        <v>45</v>
      </c>
      <c r="G16" s="91" t="s">
        <v>22</v>
      </c>
      <c r="H16" s="93">
        <v>41820</v>
      </c>
      <c r="I16" s="91" t="s">
        <v>132</v>
      </c>
      <c r="J16" s="289">
        <v>13.92</v>
      </c>
      <c r="K16" s="289">
        <v>0</v>
      </c>
      <c r="L16" s="289">
        <f>+J16-K16</f>
        <v>13.92</v>
      </c>
      <c r="M16" s="289"/>
      <c r="N16" s="289"/>
      <c r="O16" s="289"/>
      <c r="P16" s="77"/>
      <c r="Q16" s="77"/>
    </row>
    <row r="17" spans="1:17" ht="30" x14ac:dyDescent="0.25">
      <c r="A17" s="82" t="s">
        <v>8</v>
      </c>
      <c r="B17" s="83" t="s">
        <v>193</v>
      </c>
      <c r="C17" s="83" t="s">
        <v>238</v>
      </c>
      <c r="D17" s="83" t="s">
        <v>239</v>
      </c>
      <c r="E17" s="84" t="s">
        <v>32</v>
      </c>
      <c r="F17" s="84" t="s">
        <v>118</v>
      </c>
      <c r="G17" s="91" t="s">
        <v>22</v>
      </c>
      <c r="H17" s="85">
        <v>42185</v>
      </c>
      <c r="I17" s="83" t="s">
        <v>133</v>
      </c>
      <c r="J17" s="191">
        <v>2.74</v>
      </c>
      <c r="K17" s="191">
        <v>0</v>
      </c>
      <c r="L17" s="191">
        <f>+J17-K17</f>
        <v>2.74</v>
      </c>
      <c r="M17" s="288"/>
      <c r="N17" s="288"/>
      <c r="O17" s="288"/>
      <c r="P17" s="77"/>
      <c r="Q17" s="77"/>
    </row>
    <row r="18" spans="1:17" ht="15" x14ac:dyDescent="0.25">
      <c r="A18" s="181"/>
      <c r="B18" s="181"/>
      <c r="C18" s="181"/>
      <c r="D18" s="181"/>
      <c r="E18" s="182"/>
      <c r="F18" s="181"/>
      <c r="G18" s="181"/>
      <c r="H18" s="183" t="s">
        <v>206</v>
      </c>
      <c r="I18" s="181"/>
      <c r="J18" s="290">
        <f>SUM(J14:J17)</f>
        <v>76.699999999999989</v>
      </c>
      <c r="K18" s="290">
        <f>SUM(K14:K17)</f>
        <v>20.75</v>
      </c>
      <c r="L18" s="290">
        <f>SUM(L14:L17)</f>
        <v>55.949999999999996</v>
      </c>
      <c r="M18" s="290">
        <f>+L18-N18</f>
        <v>33.769999999999996</v>
      </c>
      <c r="N18" s="290">
        <v>22.18</v>
      </c>
      <c r="O18" s="290">
        <v>35</v>
      </c>
      <c r="P18" s="77"/>
      <c r="Q18" s="77"/>
    </row>
    <row r="19" spans="1:17" ht="15" x14ac:dyDescent="0.25">
      <c r="A19" s="184" t="s">
        <v>198</v>
      </c>
      <c r="B19" s="184"/>
      <c r="C19" s="185"/>
      <c r="D19" s="185"/>
      <c r="E19" s="184"/>
      <c r="F19" s="184"/>
      <c r="G19" s="184"/>
      <c r="H19" s="184"/>
      <c r="I19" s="184"/>
      <c r="J19" s="184"/>
      <c r="K19" s="184"/>
      <c r="L19" s="184"/>
      <c r="M19" s="184"/>
      <c r="N19" s="184"/>
      <c r="O19" s="186"/>
      <c r="P19" s="178"/>
      <c r="Q19" s="178"/>
    </row>
    <row r="20" spans="1:17" ht="45" x14ac:dyDescent="0.25">
      <c r="A20" s="82" t="s">
        <v>8</v>
      </c>
      <c r="B20" s="83" t="s">
        <v>7</v>
      </c>
      <c r="C20" s="83" t="s">
        <v>27</v>
      </c>
      <c r="D20" s="83" t="s">
        <v>127</v>
      </c>
      <c r="E20" s="84" t="s">
        <v>33</v>
      </c>
      <c r="F20" s="84" t="s">
        <v>45</v>
      </c>
      <c r="G20" s="83" t="s">
        <v>22</v>
      </c>
      <c r="H20" s="85">
        <v>41090</v>
      </c>
      <c r="I20" s="83" t="s">
        <v>135</v>
      </c>
      <c r="J20" s="288">
        <v>6.57</v>
      </c>
      <c r="K20" s="288">
        <v>3.92</v>
      </c>
      <c r="L20" s="288">
        <f t="shared" ref="L20:L27" si="0">+J20-K20</f>
        <v>2.6500000000000004</v>
      </c>
      <c r="M20" s="288"/>
      <c r="N20" s="288"/>
      <c r="O20" s="288"/>
      <c r="P20" s="97"/>
      <c r="Q20" s="97"/>
    </row>
    <row r="21" spans="1:17" ht="30" x14ac:dyDescent="0.25">
      <c r="A21" s="90" t="s">
        <v>8</v>
      </c>
      <c r="B21" s="91" t="s">
        <v>7</v>
      </c>
      <c r="C21" s="91" t="s">
        <v>92</v>
      </c>
      <c r="D21" s="91" t="s">
        <v>128</v>
      </c>
      <c r="E21" s="92" t="s">
        <v>33</v>
      </c>
      <c r="F21" s="91" t="s">
        <v>44</v>
      </c>
      <c r="G21" s="91" t="s">
        <v>22</v>
      </c>
      <c r="H21" s="93">
        <v>41090</v>
      </c>
      <c r="I21" s="91" t="s">
        <v>136</v>
      </c>
      <c r="J21" s="289">
        <v>0.25</v>
      </c>
      <c r="K21" s="289">
        <v>0.24</v>
      </c>
      <c r="L21" s="289">
        <f t="shared" si="0"/>
        <v>1.0000000000000009E-2</v>
      </c>
      <c r="M21" s="289"/>
      <c r="N21" s="289"/>
      <c r="O21" s="289"/>
      <c r="P21" s="77"/>
      <c r="Q21" s="77"/>
    </row>
    <row r="22" spans="1:17" ht="45" x14ac:dyDescent="0.25">
      <c r="A22" s="82" t="s">
        <v>8</v>
      </c>
      <c r="B22" s="83" t="s">
        <v>7</v>
      </c>
      <c r="C22" s="83" t="s">
        <v>27</v>
      </c>
      <c r="D22" s="83" t="s">
        <v>127</v>
      </c>
      <c r="E22" s="84" t="s">
        <v>33</v>
      </c>
      <c r="F22" s="84" t="s">
        <v>45</v>
      </c>
      <c r="G22" s="83" t="s">
        <v>22</v>
      </c>
      <c r="H22" s="85">
        <v>41455</v>
      </c>
      <c r="I22" s="83" t="s">
        <v>137</v>
      </c>
      <c r="J22" s="288">
        <v>5.25</v>
      </c>
      <c r="K22" s="288">
        <v>0</v>
      </c>
      <c r="L22" s="288">
        <f t="shared" si="0"/>
        <v>5.25</v>
      </c>
      <c r="M22" s="288"/>
      <c r="N22" s="288"/>
      <c r="O22" s="288"/>
      <c r="P22" s="97"/>
      <c r="Q22" s="97"/>
    </row>
    <row r="23" spans="1:17" ht="30" x14ac:dyDescent="0.25">
      <c r="A23" s="90" t="s">
        <v>84</v>
      </c>
      <c r="B23" s="91" t="s">
        <v>7</v>
      </c>
      <c r="C23" s="91" t="s">
        <v>92</v>
      </c>
      <c r="D23" s="91" t="s">
        <v>128</v>
      </c>
      <c r="E23" s="92" t="s">
        <v>33</v>
      </c>
      <c r="F23" s="91" t="s">
        <v>44</v>
      </c>
      <c r="G23" s="91" t="s">
        <v>22</v>
      </c>
      <c r="H23" s="93">
        <v>41455</v>
      </c>
      <c r="I23" s="91" t="s">
        <v>137</v>
      </c>
      <c r="J23" s="289">
        <v>0.03</v>
      </c>
      <c r="K23" s="289">
        <v>0</v>
      </c>
      <c r="L23" s="289">
        <f t="shared" si="0"/>
        <v>0.03</v>
      </c>
      <c r="M23" s="289"/>
      <c r="N23" s="289"/>
      <c r="O23" s="289"/>
      <c r="P23" s="77"/>
      <c r="Q23" s="77"/>
    </row>
    <row r="24" spans="1:17" ht="45" x14ac:dyDescent="0.25">
      <c r="A24" s="82" t="s">
        <v>84</v>
      </c>
      <c r="B24" s="83" t="s">
        <v>7</v>
      </c>
      <c r="C24" s="83" t="s">
        <v>27</v>
      </c>
      <c r="D24" s="83" t="s">
        <v>127</v>
      </c>
      <c r="E24" s="84" t="s">
        <v>33</v>
      </c>
      <c r="F24" s="84" t="s">
        <v>45</v>
      </c>
      <c r="G24" s="83" t="s">
        <v>22</v>
      </c>
      <c r="H24" s="85">
        <v>41820</v>
      </c>
      <c r="I24" s="83" t="s">
        <v>138</v>
      </c>
      <c r="J24" s="288">
        <v>0.92</v>
      </c>
      <c r="K24" s="288">
        <v>0</v>
      </c>
      <c r="L24" s="288">
        <f t="shared" si="0"/>
        <v>0.92</v>
      </c>
      <c r="M24" s="288"/>
      <c r="N24" s="288"/>
      <c r="O24" s="288"/>
      <c r="P24" s="97"/>
      <c r="Q24" s="97"/>
    </row>
    <row r="25" spans="1:17" ht="30" x14ac:dyDescent="0.25">
      <c r="A25" s="90" t="s">
        <v>8</v>
      </c>
      <c r="B25" s="91" t="s">
        <v>7</v>
      </c>
      <c r="C25" s="91" t="s">
        <v>92</v>
      </c>
      <c r="D25" s="91" t="s">
        <v>128</v>
      </c>
      <c r="E25" s="92" t="s">
        <v>33</v>
      </c>
      <c r="F25" s="91" t="s">
        <v>44</v>
      </c>
      <c r="G25" s="91" t="s">
        <v>22</v>
      </c>
      <c r="H25" s="93">
        <v>41820</v>
      </c>
      <c r="I25" s="91" t="s">
        <v>138</v>
      </c>
      <c r="J25" s="289">
        <v>0.21</v>
      </c>
      <c r="K25" s="289">
        <v>0</v>
      </c>
      <c r="L25" s="289">
        <f t="shared" si="0"/>
        <v>0.21</v>
      </c>
      <c r="M25" s="289"/>
      <c r="N25" s="289"/>
      <c r="O25" s="289"/>
      <c r="P25" s="77"/>
      <c r="Q25" s="77"/>
    </row>
    <row r="26" spans="1:17" ht="30" x14ac:dyDescent="0.25">
      <c r="A26" s="82" t="s">
        <v>8</v>
      </c>
      <c r="B26" s="83" t="s">
        <v>7</v>
      </c>
      <c r="C26" s="83"/>
      <c r="D26" s="83"/>
      <c r="E26" s="84"/>
      <c r="F26" s="84"/>
      <c r="G26" s="83"/>
      <c r="H26" s="85"/>
      <c r="I26" s="83" t="s">
        <v>139</v>
      </c>
      <c r="J26" s="288">
        <v>0</v>
      </c>
      <c r="K26" s="288">
        <v>0</v>
      </c>
      <c r="L26" s="288">
        <f t="shared" si="0"/>
        <v>0</v>
      </c>
      <c r="M26" s="288"/>
      <c r="N26" s="288"/>
      <c r="O26" s="288"/>
      <c r="P26" s="97"/>
      <c r="Q26" s="97"/>
    </row>
    <row r="27" spans="1:17" ht="30" x14ac:dyDescent="0.25">
      <c r="A27" s="90" t="s">
        <v>8</v>
      </c>
      <c r="B27" s="91" t="s">
        <v>7</v>
      </c>
      <c r="C27" s="91"/>
      <c r="D27" s="91"/>
      <c r="E27" s="92"/>
      <c r="F27" s="91"/>
      <c r="G27" s="91"/>
      <c r="H27" s="93"/>
      <c r="I27" s="91" t="s">
        <v>139</v>
      </c>
      <c r="J27" s="291">
        <v>0</v>
      </c>
      <c r="K27" s="291">
        <v>0</v>
      </c>
      <c r="L27" s="291">
        <f t="shared" si="0"/>
        <v>0</v>
      </c>
      <c r="M27" s="291"/>
      <c r="N27" s="291"/>
      <c r="O27" s="291"/>
      <c r="P27" s="77"/>
      <c r="Q27" s="77"/>
    </row>
    <row r="28" spans="1:17" ht="15" x14ac:dyDescent="0.25">
      <c r="A28" s="181"/>
      <c r="B28" s="181"/>
      <c r="C28" s="181"/>
      <c r="D28" s="181"/>
      <c r="E28" s="182"/>
      <c r="F28" s="181"/>
      <c r="G28" s="181"/>
      <c r="H28" s="183" t="s">
        <v>206</v>
      </c>
      <c r="I28" s="181"/>
      <c r="J28" s="290">
        <f>SUM(J20:J27)</f>
        <v>13.23</v>
      </c>
      <c r="K28" s="290">
        <f>SUM(K20:K27)</f>
        <v>4.16</v>
      </c>
      <c r="L28" s="290">
        <f>SUM(L20:L27)</f>
        <v>9.0700000000000021</v>
      </c>
      <c r="M28" s="290">
        <f>+L28-N28</f>
        <v>7.1100000000000021</v>
      </c>
      <c r="N28" s="290">
        <v>1.96</v>
      </c>
      <c r="O28" s="290"/>
      <c r="P28" s="97"/>
      <c r="Q28" s="97"/>
    </row>
    <row r="29" spans="1:17" ht="15" x14ac:dyDescent="0.25">
      <c r="A29" s="901" t="s">
        <v>202</v>
      </c>
      <c r="B29" s="902"/>
      <c r="C29" s="902"/>
      <c r="D29" s="902"/>
      <c r="E29" s="902"/>
      <c r="F29" s="902"/>
      <c r="G29" s="902"/>
      <c r="H29" s="902"/>
      <c r="I29" s="902"/>
      <c r="J29" s="902"/>
      <c r="K29" s="902"/>
      <c r="L29" s="902"/>
      <c r="M29" s="902"/>
      <c r="N29" s="902"/>
      <c r="O29" s="903"/>
      <c r="P29" s="77"/>
      <c r="Q29" s="77"/>
    </row>
    <row r="30" spans="1:17" ht="60" x14ac:dyDescent="0.25">
      <c r="A30" s="176" t="s">
        <v>89</v>
      </c>
      <c r="B30" s="176" t="s">
        <v>90</v>
      </c>
      <c r="C30" s="177" t="s">
        <v>0</v>
      </c>
      <c r="D30" s="177" t="s">
        <v>124</v>
      </c>
      <c r="E30" s="176" t="s">
        <v>143</v>
      </c>
      <c r="F30" s="176" t="s">
        <v>144</v>
      </c>
      <c r="G30" s="176" t="s">
        <v>13</v>
      </c>
      <c r="H30" s="176" t="s">
        <v>88</v>
      </c>
      <c r="I30" s="176" t="s">
        <v>12</v>
      </c>
      <c r="J30" s="176" t="s">
        <v>200</v>
      </c>
      <c r="K30" s="176" t="s">
        <v>199</v>
      </c>
      <c r="L30" s="176" t="s">
        <v>201</v>
      </c>
      <c r="M30" s="176" t="s">
        <v>149</v>
      </c>
      <c r="N30" s="176" t="s">
        <v>154</v>
      </c>
      <c r="O30" s="176" t="s">
        <v>205</v>
      </c>
      <c r="P30" s="97"/>
      <c r="Q30" s="97"/>
    </row>
    <row r="31" spans="1:17" ht="30" x14ac:dyDescent="0.25">
      <c r="A31" s="90" t="s">
        <v>84</v>
      </c>
      <c r="B31" s="91" t="s">
        <v>9</v>
      </c>
      <c r="C31" s="91" t="s">
        <v>183</v>
      </c>
      <c r="D31" s="91" t="s">
        <v>142</v>
      </c>
      <c r="E31" s="92" t="s">
        <v>142</v>
      </c>
      <c r="F31" s="91" t="s">
        <v>142</v>
      </c>
      <c r="G31" s="91" t="s">
        <v>22</v>
      </c>
      <c r="H31" s="93">
        <v>41449</v>
      </c>
      <c r="I31" s="91" t="s">
        <v>172</v>
      </c>
      <c r="J31" s="292">
        <v>7.0349999999999996E-2</v>
      </c>
      <c r="K31" s="292">
        <v>0</v>
      </c>
      <c r="L31" s="292">
        <v>7.0349999999999996E-2</v>
      </c>
      <c r="M31" s="292">
        <v>6.5500000000000003E-2</v>
      </c>
      <c r="N31" s="292">
        <f>L31-M31</f>
        <v>4.8499999999999932E-3</v>
      </c>
      <c r="O31" s="292"/>
      <c r="P31" s="97"/>
      <c r="Q31" s="97"/>
    </row>
    <row r="32" spans="1:17" ht="15" x14ac:dyDescent="0.25">
      <c r="A32" s="98"/>
      <c r="B32" s="300"/>
      <c r="C32" s="300"/>
      <c r="D32" s="77"/>
      <c r="E32" s="77"/>
      <c r="F32" s="77"/>
      <c r="G32" s="77"/>
      <c r="H32" s="77"/>
      <c r="I32" s="77"/>
      <c r="J32" s="144"/>
      <c r="K32" s="144"/>
      <c r="L32" s="144"/>
      <c r="M32" s="144"/>
      <c r="N32" s="144"/>
      <c r="O32" s="144"/>
      <c r="P32" s="77"/>
      <c r="Q32" s="77"/>
    </row>
    <row r="33" spans="1:17" ht="15" x14ac:dyDescent="0.25">
      <c r="A33" s="77"/>
      <c r="B33" s="300"/>
      <c r="C33" s="300"/>
      <c r="D33" s="77"/>
      <c r="E33" s="77"/>
      <c r="F33" s="77"/>
      <c r="G33" s="77"/>
      <c r="H33" s="77"/>
      <c r="I33" s="77"/>
      <c r="J33" s="77"/>
      <c r="K33" s="77"/>
      <c r="L33" s="77"/>
      <c r="M33" s="77"/>
      <c r="N33" s="77"/>
      <c r="O33" s="77"/>
      <c r="P33" s="77"/>
      <c r="Q33" s="77"/>
    </row>
    <row r="34" spans="1:17" ht="15" x14ac:dyDescent="0.25">
      <c r="A34" s="77"/>
      <c r="B34" s="300"/>
      <c r="C34" s="300"/>
      <c r="D34" s="77"/>
      <c r="E34" s="77"/>
      <c r="F34" s="77"/>
      <c r="G34" s="77"/>
      <c r="H34" s="77"/>
      <c r="I34" s="77"/>
      <c r="J34" s="77"/>
      <c r="K34" s="77"/>
      <c r="L34" s="77"/>
      <c r="M34" s="77"/>
      <c r="N34" s="77"/>
      <c r="O34" s="77"/>
      <c r="P34" s="77"/>
      <c r="Q34" s="77"/>
    </row>
    <row r="35" spans="1:17" ht="15" x14ac:dyDescent="0.25">
      <c r="A35" s="77"/>
      <c r="B35" s="300"/>
      <c r="C35" s="300"/>
      <c r="D35" s="77"/>
      <c r="E35" s="77"/>
      <c r="F35" s="77"/>
      <c r="G35" s="77"/>
      <c r="H35" s="77"/>
      <c r="I35" s="77"/>
      <c r="J35" s="77"/>
      <c r="K35" s="77"/>
      <c r="L35" s="77"/>
      <c r="M35" s="77"/>
      <c r="N35" s="77"/>
      <c r="O35" s="77"/>
      <c r="P35" s="77"/>
      <c r="Q35" s="77"/>
    </row>
    <row r="36" spans="1:17" ht="15" x14ac:dyDescent="0.25">
      <c r="A36" s="77"/>
      <c r="B36" s="77"/>
      <c r="C36" s="77"/>
      <c r="D36" s="77"/>
      <c r="E36" s="77"/>
      <c r="F36" s="77"/>
      <c r="G36" s="77"/>
      <c r="H36" s="77"/>
      <c r="I36" s="77"/>
      <c r="J36" s="77"/>
      <c r="K36" s="77"/>
      <c r="L36" s="77"/>
      <c r="M36" s="77"/>
      <c r="N36" s="77"/>
      <c r="O36" s="77"/>
      <c r="P36" s="77"/>
      <c r="Q36" s="77"/>
    </row>
    <row r="37" spans="1:17" ht="15" x14ac:dyDescent="0.25">
      <c r="A37" s="77"/>
      <c r="B37" s="77"/>
      <c r="C37" s="77"/>
      <c r="D37" s="77"/>
      <c r="E37" s="77"/>
      <c r="F37" s="77"/>
      <c r="G37" s="77"/>
      <c r="H37" s="77"/>
      <c r="I37" s="77"/>
      <c r="J37" s="77"/>
      <c r="K37" s="77"/>
      <c r="L37" s="77"/>
      <c r="M37" s="77"/>
      <c r="N37" s="77"/>
      <c r="O37" s="77"/>
      <c r="P37" s="77"/>
      <c r="Q37" s="77"/>
    </row>
    <row r="38" spans="1:17" ht="15" x14ac:dyDescent="0.25">
      <c r="A38" s="77"/>
      <c r="B38" s="77"/>
      <c r="C38" s="77"/>
      <c r="D38" s="77"/>
      <c r="E38" s="77"/>
      <c r="F38" s="77"/>
      <c r="G38" s="77"/>
      <c r="H38" s="77"/>
      <c r="I38" s="77"/>
      <c r="J38" s="77"/>
      <c r="K38" s="77"/>
      <c r="L38" s="77"/>
      <c r="M38" s="77"/>
      <c r="N38" s="77"/>
      <c r="O38" s="77"/>
      <c r="P38" s="77"/>
      <c r="Q38" s="77"/>
    </row>
    <row r="39" spans="1:17" ht="15" x14ac:dyDescent="0.25">
      <c r="A39" s="77"/>
      <c r="B39" s="77"/>
      <c r="C39" s="77"/>
      <c r="D39" s="77"/>
      <c r="E39" s="77"/>
      <c r="F39" s="77"/>
      <c r="G39" s="77"/>
      <c r="H39" s="77"/>
      <c r="I39" s="77"/>
      <c r="J39" s="77"/>
      <c r="K39" s="77"/>
      <c r="L39" s="77"/>
      <c r="M39" s="77"/>
      <c r="N39" s="77"/>
      <c r="O39" s="77"/>
      <c r="P39" s="77"/>
      <c r="Q39" s="77"/>
    </row>
    <row r="40" spans="1:17" ht="15" x14ac:dyDescent="0.25">
      <c r="A40" s="77"/>
      <c r="B40" s="77"/>
      <c r="C40" s="77"/>
      <c r="D40" s="77"/>
      <c r="E40" s="77"/>
      <c r="F40" s="77"/>
      <c r="G40" s="77"/>
      <c r="H40" s="77"/>
      <c r="I40" s="77"/>
      <c r="J40" s="77"/>
      <c r="K40" s="77"/>
      <c r="L40" s="77"/>
      <c r="M40" s="77"/>
      <c r="N40" s="77"/>
      <c r="O40" s="77"/>
      <c r="P40" s="77"/>
      <c r="Q40" s="77"/>
    </row>
    <row r="41" spans="1:17" ht="15.6" thickBot="1" x14ac:dyDescent="0.3">
      <c r="A41" s="904"/>
      <c r="B41" s="904"/>
      <c r="C41" s="904"/>
      <c r="D41" s="904"/>
      <c r="E41" s="904"/>
      <c r="F41" s="904"/>
      <c r="G41" s="904"/>
      <c r="H41" s="904"/>
      <c r="I41" s="904"/>
      <c r="J41" s="904"/>
      <c r="K41" s="904"/>
      <c r="L41" s="904"/>
      <c r="M41" s="904"/>
      <c r="N41" s="904"/>
      <c r="O41" s="904"/>
      <c r="P41" s="198"/>
      <c r="Q41" s="198"/>
    </row>
    <row r="42" spans="1:17" ht="15.6" x14ac:dyDescent="0.3">
      <c r="A42" s="905"/>
      <c r="B42" s="905"/>
      <c r="C42" s="905"/>
      <c r="D42" s="905"/>
      <c r="E42" s="905"/>
      <c r="F42" s="905"/>
      <c r="G42" s="77"/>
      <c r="H42" s="77"/>
      <c r="I42" s="77"/>
      <c r="J42" s="77"/>
      <c r="K42" s="77"/>
      <c r="L42" s="77"/>
      <c r="M42" s="77"/>
      <c r="N42" s="77"/>
      <c r="O42" s="77"/>
      <c r="P42" s="77"/>
      <c r="Q42" s="77"/>
    </row>
    <row r="43" spans="1:17" ht="15.6" x14ac:dyDescent="0.3">
      <c r="A43" s="202"/>
      <c r="B43" s="203"/>
      <c r="C43" s="203"/>
      <c r="D43" s="202"/>
      <c r="E43" s="202"/>
      <c r="F43" s="202"/>
      <c r="G43" s="77"/>
      <c r="H43" s="203"/>
      <c r="I43" s="77"/>
      <c r="J43" s="77"/>
      <c r="K43" s="77"/>
      <c r="L43" s="77"/>
      <c r="M43" s="77"/>
      <c r="N43" s="77"/>
      <c r="O43" s="77"/>
      <c r="P43" s="77"/>
      <c r="Q43" s="77"/>
    </row>
    <row r="44" spans="1:17" ht="15" x14ac:dyDescent="0.25">
      <c r="A44" s="168"/>
      <c r="B44" s="168"/>
      <c r="C44" s="168"/>
      <c r="D44" s="168"/>
      <c r="E44" s="168"/>
      <c r="F44" s="168"/>
      <c r="G44" s="77"/>
      <c r="H44" s="77"/>
      <c r="I44" s="77"/>
      <c r="J44" s="77"/>
      <c r="K44" s="77"/>
      <c r="L44" s="77"/>
      <c r="M44" s="77"/>
      <c r="N44" s="77"/>
      <c r="O44" s="77"/>
      <c r="P44" s="77"/>
      <c r="Q44" s="77"/>
    </row>
    <row r="45" spans="1:17" ht="39" customHeight="1" x14ac:dyDescent="0.25">
      <c r="A45" s="211"/>
      <c r="B45" s="204"/>
      <c r="C45" s="204"/>
      <c r="D45" s="204"/>
      <c r="E45" s="204"/>
      <c r="F45" s="205"/>
      <c r="G45" s="77"/>
      <c r="H45" s="144"/>
      <c r="I45" s="77"/>
      <c r="J45" s="77"/>
      <c r="K45" s="77"/>
      <c r="L45" s="77"/>
      <c r="M45" s="77"/>
      <c r="N45" s="77"/>
      <c r="O45" s="77"/>
      <c r="P45" s="77"/>
      <c r="Q45" s="77"/>
    </row>
    <row r="46" spans="1:17" ht="45.75" customHeight="1" x14ac:dyDescent="0.25">
      <c r="A46" s="211"/>
      <c r="B46" s="204"/>
      <c r="C46" s="204"/>
      <c r="D46" s="204"/>
      <c r="E46" s="204"/>
      <c r="F46" s="205"/>
      <c r="G46" s="77"/>
      <c r="H46" s="77"/>
      <c r="I46" s="77"/>
      <c r="J46" s="77"/>
      <c r="K46" s="77"/>
      <c r="L46" s="77"/>
      <c r="M46" s="77"/>
      <c r="N46" s="77"/>
      <c r="O46" s="77"/>
      <c r="P46" s="77"/>
      <c r="Q46" s="77"/>
    </row>
    <row r="47" spans="1:17" ht="28.5" customHeight="1" x14ac:dyDescent="0.25">
      <c r="A47" s="168"/>
      <c r="B47" s="204"/>
      <c r="C47" s="204"/>
      <c r="D47" s="204"/>
      <c r="E47" s="204"/>
      <c r="F47" s="205"/>
      <c r="G47" s="77"/>
      <c r="H47" s="144"/>
      <c r="I47" s="77"/>
      <c r="J47" s="77"/>
      <c r="K47" s="77"/>
      <c r="L47" s="77"/>
      <c r="M47" s="77"/>
      <c r="N47" s="77"/>
      <c r="O47" s="77"/>
      <c r="P47" s="77"/>
      <c r="Q47" s="77"/>
    </row>
    <row r="48" spans="1:17" ht="45" customHeight="1" x14ac:dyDescent="0.25">
      <c r="A48" s="211"/>
      <c r="B48" s="204"/>
      <c r="C48" s="204"/>
      <c r="D48" s="204"/>
      <c r="E48" s="204"/>
      <c r="F48" s="205"/>
      <c r="G48" s="77"/>
      <c r="H48" s="144"/>
      <c r="I48" s="77"/>
      <c r="J48" s="77"/>
      <c r="K48" s="77"/>
      <c r="L48" s="77"/>
      <c r="M48" s="77"/>
      <c r="N48" s="77"/>
      <c r="O48" s="77"/>
      <c r="P48" s="77"/>
      <c r="Q48" s="77"/>
    </row>
    <row r="49" spans="1:17" ht="31.5" customHeight="1" x14ac:dyDescent="0.25">
      <c r="A49" s="168"/>
      <c r="B49" s="204"/>
      <c r="C49" s="204"/>
      <c r="D49" s="204"/>
      <c r="E49" s="204"/>
      <c r="F49" s="205"/>
      <c r="G49" s="77"/>
      <c r="H49" s="144"/>
      <c r="I49" s="77"/>
      <c r="J49" s="77"/>
      <c r="K49" s="77"/>
      <c r="L49" s="77"/>
      <c r="M49" s="77"/>
      <c r="N49" s="77"/>
      <c r="O49" s="77"/>
      <c r="P49" s="77"/>
      <c r="Q49" s="77"/>
    </row>
    <row r="50" spans="1:17" ht="43.5" customHeight="1" x14ac:dyDescent="0.25">
      <c r="A50" s="301"/>
      <c r="B50" s="204"/>
      <c r="C50" s="204"/>
      <c r="D50" s="204"/>
      <c r="E50" s="204"/>
      <c r="F50" s="205"/>
      <c r="G50" s="77"/>
      <c r="H50" s="144"/>
      <c r="I50" s="77"/>
      <c r="J50" s="77"/>
      <c r="K50" s="77"/>
      <c r="L50" s="77"/>
      <c r="M50" s="77"/>
      <c r="N50" s="77"/>
      <c r="O50" s="77"/>
      <c r="P50" s="77"/>
      <c r="Q50" s="77"/>
    </row>
    <row r="51" spans="1:17" ht="32.25" customHeight="1" x14ac:dyDescent="0.4">
      <c r="A51" s="168"/>
      <c r="B51" s="206"/>
      <c r="C51" s="206"/>
      <c r="D51" s="206"/>
      <c r="E51" s="206"/>
      <c r="F51" s="207"/>
      <c r="G51" s="77"/>
      <c r="H51" s="212"/>
      <c r="I51" s="77"/>
      <c r="J51" s="77"/>
      <c r="K51" s="77"/>
      <c r="L51" s="77"/>
      <c r="M51" s="77"/>
      <c r="N51" s="77"/>
      <c r="O51" s="77"/>
      <c r="P51" s="77"/>
      <c r="Q51" s="77"/>
    </row>
    <row r="52" spans="1:17" ht="30" customHeight="1" x14ac:dyDescent="0.4">
      <c r="A52" s="168"/>
      <c r="B52" s="209"/>
      <c r="C52" s="209"/>
      <c r="D52" s="209"/>
      <c r="E52" s="209"/>
      <c r="F52" s="210"/>
      <c r="G52" s="77"/>
      <c r="H52" s="208"/>
      <c r="I52" s="77"/>
      <c r="J52" s="77"/>
      <c r="K52" s="77"/>
      <c r="L52" s="77"/>
      <c r="M52" s="77"/>
      <c r="N52" s="77"/>
      <c r="O52" s="77"/>
      <c r="P52" s="77"/>
      <c r="Q52" s="77"/>
    </row>
    <row r="53" spans="1:17" ht="15" x14ac:dyDescent="0.25">
      <c r="A53" s="168"/>
      <c r="B53" s="168"/>
      <c r="C53" s="168"/>
      <c r="D53" s="168"/>
      <c r="E53" s="168"/>
      <c r="F53" s="168"/>
      <c r="G53" s="77"/>
      <c r="H53" s="77"/>
      <c r="I53" s="77"/>
      <c r="J53" s="77"/>
      <c r="K53" s="77"/>
      <c r="L53" s="77"/>
      <c r="M53" s="77"/>
      <c r="N53" s="77"/>
      <c r="O53" s="77"/>
      <c r="P53" s="77"/>
      <c r="Q53" s="77"/>
    </row>
    <row r="54" spans="1:17" ht="15" x14ac:dyDescent="0.25">
      <c r="A54" s="77"/>
      <c r="B54" s="77"/>
      <c r="C54" s="77"/>
      <c r="D54" s="77"/>
      <c r="E54" s="77"/>
      <c r="F54" s="77"/>
      <c r="G54" s="77"/>
      <c r="H54" s="77"/>
      <c r="I54" s="77"/>
      <c r="J54" s="77"/>
      <c r="K54" s="77"/>
      <c r="L54" s="77"/>
      <c r="M54" s="77"/>
      <c r="N54" s="77"/>
      <c r="O54" s="77"/>
      <c r="P54" s="77"/>
      <c r="Q54" s="77"/>
    </row>
    <row r="55" spans="1:17" ht="15" x14ac:dyDescent="0.25">
      <c r="A55" s="77"/>
      <c r="B55" s="77"/>
      <c r="C55" s="77"/>
      <c r="D55" s="77"/>
      <c r="E55" s="77"/>
      <c r="F55" s="77"/>
      <c r="G55" s="77"/>
      <c r="H55" s="77"/>
      <c r="I55" s="77"/>
      <c r="J55" s="77"/>
      <c r="K55" s="77"/>
      <c r="L55" s="77"/>
      <c r="M55" s="77"/>
      <c r="N55" s="77"/>
      <c r="O55" s="77"/>
      <c r="P55" s="77"/>
      <c r="Q55" s="77"/>
    </row>
    <row r="56" spans="1:17" ht="15" x14ac:dyDescent="0.25">
      <c r="A56" s="77"/>
      <c r="B56" s="77"/>
      <c r="C56" s="77"/>
      <c r="D56" s="77"/>
      <c r="E56" s="77"/>
      <c r="F56" s="77"/>
      <c r="G56" s="77"/>
      <c r="H56" s="77"/>
      <c r="I56" s="77"/>
      <c r="J56" s="77"/>
      <c r="K56" s="77"/>
      <c r="L56" s="77"/>
      <c r="M56" s="77"/>
      <c r="N56" s="77"/>
      <c r="O56" s="77"/>
      <c r="P56" s="77"/>
      <c r="Q56" s="77"/>
    </row>
    <row r="57" spans="1:17" ht="15" x14ac:dyDescent="0.25">
      <c r="A57" s="77"/>
      <c r="B57" s="77"/>
      <c r="C57" s="77"/>
      <c r="D57" s="77"/>
      <c r="E57" s="77"/>
      <c r="F57" s="77"/>
      <c r="G57" s="77"/>
      <c r="H57" s="77"/>
      <c r="I57" s="77"/>
      <c r="J57" s="77"/>
      <c r="K57" s="77"/>
      <c r="L57" s="77"/>
      <c r="M57" s="77"/>
      <c r="N57" s="77"/>
      <c r="O57" s="77"/>
      <c r="P57" s="77"/>
      <c r="Q57" s="77"/>
    </row>
    <row r="58" spans="1:17" ht="15" x14ac:dyDescent="0.25">
      <c r="A58" s="77"/>
      <c r="B58" s="77"/>
      <c r="C58" s="77"/>
      <c r="D58" s="77"/>
      <c r="E58" s="77"/>
      <c r="F58" s="77"/>
      <c r="G58" s="77"/>
      <c r="H58" s="77"/>
      <c r="I58" s="77"/>
      <c r="J58" s="77"/>
      <c r="K58" s="77"/>
      <c r="L58" s="77"/>
      <c r="M58" s="77"/>
      <c r="N58" s="77"/>
      <c r="O58" s="77"/>
      <c r="P58" s="77"/>
      <c r="Q58" s="77"/>
    </row>
    <row r="59" spans="1:17" ht="15" x14ac:dyDescent="0.25">
      <c r="A59" s="77"/>
      <c r="B59" s="77"/>
      <c r="C59" s="77"/>
      <c r="D59" s="77"/>
      <c r="E59" s="77"/>
      <c r="F59" s="77"/>
      <c r="G59" s="77"/>
      <c r="H59" s="77"/>
      <c r="I59" s="77"/>
      <c r="J59" s="77"/>
      <c r="K59" s="77"/>
      <c r="L59" s="77"/>
      <c r="M59" s="77"/>
      <c r="N59" s="77"/>
      <c r="O59" s="77"/>
      <c r="P59" s="77"/>
      <c r="Q59" s="77"/>
    </row>
    <row r="60" spans="1:17" ht="15" x14ac:dyDescent="0.25">
      <c r="A60" s="77"/>
      <c r="B60" s="77"/>
      <c r="C60" s="77"/>
      <c r="D60" s="77"/>
      <c r="E60" s="77"/>
      <c r="F60" s="77"/>
      <c r="G60" s="77"/>
      <c r="H60" s="77"/>
      <c r="I60" s="77"/>
      <c r="J60" s="77"/>
      <c r="K60" s="77"/>
      <c r="L60" s="77"/>
      <c r="M60" s="77"/>
      <c r="N60" s="77"/>
      <c r="O60" s="77"/>
      <c r="P60" s="77"/>
      <c r="Q60" s="77"/>
    </row>
    <row r="61" spans="1:17" ht="15" x14ac:dyDescent="0.25">
      <c r="A61" s="77"/>
      <c r="B61" s="77"/>
      <c r="C61" s="77"/>
      <c r="D61" s="77"/>
      <c r="E61" s="77"/>
      <c r="F61" s="77"/>
      <c r="G61" s="77"/>
      <c r="H61" s="77"/>
      <c r="I61" s="77"/>
      <c r="J61" s="77"/>
      <c r="K61" s="77"/>
      <c r="L61" s="77"/>
      <c r="M61" s="77"/>
      <c r="N61" s="77"/>
      <c r="O61" s="77"/>
      <c r="P61" s="77"/>
      <c r="Q61" s="77"/>
    </row>
    <row r="62" spans="1:17" ht="15" x14ac:dyDescent="0.25">
      <c r="A62" s="77"/>
      <c r="B62" s="77"/>
      <c r="C62" s="77"/>
      <c r="D62" s="77"/>
      <c r="E62" s="77"/>
      <c r="F62" s="77"/>
      <c r="G62" s="77"/>
      <c r="H62" s="77"/>
      <c r="I62" s="77"/>
      <c r="J62" s="77"/>
      <c r="K62" s="77"/>
      <c r="L62" s="77"/>
      <c r="M62" s="77"/>
      <c r="N62" s="77"/>
      <c r="O62" s="77"/>
      <c r="P62" s="77"/>
      <c r="Q62" s="77"/>
    </row>
    <row r="63" spans="1:17" ht="15" x14ac:dyDescent="0.25">
      <c r="A63" s="77"/>
      <c r="B63" s="77"/>
      <c r="C63" s="77"/>
      <c r="D63" s="77"/>
      <c r="E63" s="77"/>
      <c r="F63" s="77"/>
      <c r="G63" s="77"/>
      <c r="H63" s="77"/>
      <c r="I63" s="77"/>
      <c r="J63" s="77"/>
      <c r="K63" s="77"/>
      <c r="L63" s="77"/>
      <c r="M63" s="77"/>
      <c r="N63" s="77"/>
      <c r="O63" s="77"/>
      <c r="P63" s="77"/>
      <c r="Q63" s="77"/>
    </row>
    <row r="64" spans="1:17" ht="15" x14ac:dyDescent="0.25">
      <c r="A64" s="77"/>
      <c r="B64" s="77"/>
      <c r="C64" s="77"/>
      <c r="D64" s="77"/>
      <c r="E64" s="77"/>
      <c r="F64" s="77"/>
      <c r="G64" s="77"/>
      <c r="H64" s="77"/>
      <c r="I64" s="77"/>
      <c r="J64" s="77"/>
      <c r="K64" s="77"/>
      <c r="L64" s="77"/>
      <c r="M64" s="77"/>
      <c r="N64" s="77"/>
      <c r="O64" s="77"/>
      <c r="P64" s="77"/>
      <c r="Q64" s="77"/>
    </row>
    <row r="65" spans="1:17" ht="15" x14ac:dyDescent="0.25">
      <c r="A65" s="77"/>
      <c r="B65" s="77"/>
      <c r="C65" s="77"/>
      <c r="D65" s="77"/>
      <c r="E65" s="77"/>
      <c r="F65" s="77"/>
      <c r="G65" s="77"/>
      <c r="H65" s="77"/>
      <c r="I65" s="77"/>
      <c r="J65" s="77"/>
      <c r="K65" s="77"/>
      <c r="L65" s="77"/>
      <c r="M65" s="77"/>
      <c r="N65" s="77"/>
      <c r="O65" s="77"/>
      <c r="P65" s="77"/>
      <c r="Q65" s="77"/>
    </row>
    <row r="66" spans="1:17" ht="15" x14ac:dyDescent="0.25">
      <c r="A66" s="77"/>
      <c r="B66" s="77"/>
      <c r="C66" s="77"/>
      <c r="D66" s="77"/>
      <c r="E66" s="77"/>
      <c r="F66" s="77"/>
      <c r="G66" s="77"/>
      <c r="H66" s="77"/>
      <c r="I66" s="77"/>
      <c r="J66" s="77"/>
      <c r="K66" s="77"/>
      <c r="L66" s="77"/>
      <c r="M66" s="77"/>
      <c r="N66" s="77"/>
      <c r="O66" s="77"/>
      <c r="P66" s="77"/>
      <c r="Q66" s="77"/>
    </row>
    <row r="67" spans="1:17" ht="15" x14ac:dyDescent="0.25">
      <c r="A67" s="77"/>
      <c r="B67" s="77"/>
      <c r="C67" s="77"/>
      <c r="D67" s="77"/>
      <c r="E67" s="77"/>
      <c r="F67" s="77"/>
      <c r="G67" s="77"/>
      <c r="H67" s="77"/>
      <c r="I67" s="77"/>
      <c r="J67" s="77"/>
      <c r="K67" s="77"/>
      <c r="L67" s="77"/>
      <c r="M67" s="77"/>
      <c r="N67" s="77"/>
      <c r="O67" s="77"/>
      <c r="P67" s="77"/>
      <c r="Q67" s="77"/>
    </row>
    <row r="68" spans="1:17" ht="15" x14ac:dyDescent="0.25">
      <c r="A68" s="77"/>
      <c r="B68" s="77"/>
      <c r="C68" s="77"/>
      <c r="D68" s="77"/>
      <c r="E68" s="77"/>
      <c r="F68" s="77"/>
      <c r="G68" s="77"/>
      <c r="H68" s="77"/>
      <c r="I68" s="77"/>
      <c r="J68" s="77"/>
      <c r="K68" s="77"/>
      <c r="L68" s="77"/>
      <c r="M68" s="77"/>
      <c r="N68" s="77"/>
      <c r="O68" s="77"/>
      <c r="P68" s="77"/>
      <c r="Q68" s="77"/>
    </row>
    <row r="69" spans="1:17" ht="15" x14ac:dyDescent="0.25">
      <c r="A69" s="77"/>
      <c r="B69" s="77"/>
      <c r="C69" s="77"/>
      <c r="D69" s="77"/>
      <c r="E69" s="77"/>
      <c r="F69" s="77"/>
      <c r="G69" s="77"/>
      <c r="H69" s="77"/>
      <c r="I69" s="77"/>
      <c r="J69" s="77"/>
      <c r="K69" s="77"/>
      <c r="L69" s="77"/>
      <c r="M69" s="77"/>
      <c r="N69" s="77"/>
      <c r="O69" s="77"/>
      <c r="P69" s="77"/>
      <c r="Q69" s="77"/>
    </row>
    <row r="70" spans="1:17" ht="15" x14ac:dyDescent="0.25">
      <c r="A70" s="77"/>
      <c r="B70" s="77"/>
      <c r="C70" s="77"/>
      <c r="D70" s="77"/>
      <c r="E70" s="77"/>
      <c r="F70" s="77"/>
      <c r="G70" s="77"/>
      <c r="H70" s="77"/>
      <c r="I70" s="77"/>
      <c r="J70" s="77"/>
      <c r="K70" s="77"/>
      <c r="L70" s="77"/>
      <c r="M70" s="77"/>
      <c r="N70" s="77"/>
      <c r="O70" s="77"/>
      <c r="P70" s="77"/>
      <c r="Q70" s="77"/>
    </row>
    <row r="71" spans="1:17" ht="15" x14ac:dyDescent="0.25">
      <c r="A71" s="77"/>
      <c r="B71" s="77"/>
      <c r="C71" s="77"/>
      <c r="D71" s="77"/>
      <c r="E71" s="77"/>
      <c r="F71" s="77"/>
      <c r="G71" s="77"/>
      <c r="H71" s="77"/>
      <c r="I71" s="77"/>
      <c r="J71" s="77"/>
      <c r="K71" s="77"/>
      <c r="L71" s="77"/>
      <c r="M71" s="77"/>
      <c r="N71" s="77"/>
      <c r="O71" s="77"/>
      <c r="P71" s="77"/>
      <c r="Q71" s="77"/>
    </row>
    <row r="72" spans="1:17" ht="15" x14ac:dyDescent="0.25">
      <c r="A72" s="77"/>
      <c r="B72" s="77"/>
      <c r="C72" s="77"/>
      <c r="D72" s="77"/>
      <c r="E72" s="77"/>
      <c r="F72" s="77"/>
      <c r="G72" s="77"/>
      <c r="H72" s="77"/>
      <c r="I72" s="77"/>
      <c r="J72" s="77"/>
      <c r="K72" s="77"/>
      <c r="L72" s="77"/>
      <c r="M72" s="77"/>
      <c r="N72" s="77"/>
      <c r="O72" s="77"/>
      <c r="P72" s="77"/>
      <c r="Q72" s="77"/>
    </row>
    <row r="73" spans="1:17" ht="15" x14ac:dyDescent="0.25">
      <c r="A73" s="77"/>
      <c r="B73" s="77"/>
      <c r="C73" s="77"/>
      <c r="D73" s="77"/>
      <c r="E73" s="77"/>
      <c r="F73" s="77"/>
      <c r="G73" s="77"/>
      <c r="H73" s="77"/>
      <c r="I73" s="77"/>
      <c r="J73" s="77"/>
      <c r="K73" s="77"/>
      <c r="L73" s="77"/>
      <c r="M73" s="77"/>
      <c r="N73" s="77"/>
      <c r="O73" s="77"/>
      <c r="P73" s="77"/>
      <c r="Q73" s="77"/>
    </row>
    <row r="74" spans="1:17" ht="15" x14ac:dyDescent="0.25">
      <c r="A74" s="77"/>
      <c r="B74" s="77"/>
      <c r="C74" s="77"/>
      <c r="D74" s="77"/>
      <c r="E74" s="77"/>
      <c r="F74" s="77"/>
      <c r="G74" s="77"/>
      <c r="H74" s="77"/>
      <c r="I74" s="77"/>
      <c r="J74" s="77"/>
      <c r="K74" s="77"/>
      <c r="L74" s="77"/>
      <c r="M74" s="77"/>
      <c r="N74" s="77"/>
      <c r="O74" s="77"/>
      <c r="P74" s="77"/>
      <c r="Q74" s="77"/>
    </row>
    <row r="75" spans="1:17" ht="15" x14ac:dyDescent="0.25">
      <c r="A75" s="77"/>
      <c r="B75" s="77"/>
      <c r="C75" s="77"/>
      <c r="D75" s="77"/>
      <c r="E75" s="77"/>
      <c r="F75" s="77"/>
      <c r="G75" s="77"/>
      <c r="H75" s="77"/>
      <c r="I75" s="77"/>
      <c r="J75" s="77"/>
      <c r="K75" s="77"/>
      <c r="L75" s="77"/>
      <c r="M75" s="77"/>
      <c r="N75" s="77"/>
      <c r="O75" s="77"/>
      <c r="P75" s="77"/>
      <c r="Q75" s="77"/>
    </row>
    <row r="76" spans="1:17" ht="15" x14ac:dyDescent="0.25">
      <c r="A76" s="77"/>
      <c r="B76" s="77"/>
      <c r="C76" s="77"/>
      <c r="D76" s="77"/>
      <c r="E76" s="77"/>
      <c r="F76" s="77"/>
      <c r="G76" s="77"/>
      <c r="H76" s="77"/>
      <c r="I76" s="77"/>
      <c r="J76" s="77"/>
      <c r="K76" s="77"/>
      <c r="L76" s="77"/>
      <c r="M76" s="77"/>
      <c r="N76" s="77"/>
      <c r="O76" s="77"/>
      <c r="P76" s="77"/>
      <c r="Q76" s="77"/>
    </row>
    <row r="77" spans="1:17" ht="15" x14ac:dyDescent="0.25">
      <c r="A77" s="77"/>
      <c r="B77" s="77"/>
      <c r="C77" s="77"/>
      <c r="D77" s="77"/>
      <c r="E77" s="77"/>
      <c r="F77" s="77"/>
      <c r="G77" s="77"/>
      <c r="H77" s="77"/>
      <c r="I77" s="77"/>
      <c r="J77" s="77"/>
      <c r="K77" s="77"/>
      <c r="L77" s="77"/>
      <c r="M77" s="77"/>
      <c r="N77" s="77"/>
      <c r="O77" s="77"/>
      <c r="P77" s="77"/>
      <c r="Q77" s="77"/>
    </row>
    <row r="78" spans="1:17" ht="15" x14ac:dyDescent="0.25">
      <c r="A78" s="77"/>
      <c r="B78" s="77"/>
      <c r="C78" s="77"/>
      <c r="D78" s="77"/>
      <c r="E78" s="77"/>
      <c r="F78" s="77"/>
      <c r="G78" s="77"/>
      <c r="H78" s="77"/>
      <c r="I78" s="77"/>
      <c r="J78" s="77"/>
      <c r="K78" s="77"/>
      <c r="L78" s="77"/>
      <c r="M78" s="77"/>
      <c r="N78" s="77"/>
      <c r="O78" s="77"/>
      <c r="P78" s="77"/>
      <c r="Q78" s="77"/>
    </row>
    <row r="79" spans="1:17" ht="15" x14ac:dyDescent="0.25">
      <c r="A79" s="77"/>
      <c r="B79" s="77"/>
      <c r="C79" s="77"/>
      <c r="D79" s="77"/>
      <c r="E79" s="77"/>
      <c r="F79" s="77"/>
      <c r="G79" s="77"/>
      <c r="H79" s="77"/>
      <c r="I79" s="77"/>
      <c r="J79" s="77"/>
      <c r="K79" s="77"/>
      <c r="L79" s="77"/>
      <c r="M79" s="77"/>
      <c r="N79" s="77"/>
      <c r="O79" s="77"/>
      <c r="P79" s="77"/>
      <c r="Q79" s="77"/>
    </row>
    <row r="80" spans="1:17" ht="15" x14ac:dyDescent="0.25">
      <c r="A80" s="77"/>
      <c r="B80" s="77"/>
      <c r="C80" s="77"/>
      <c r="D80" s="77"/>
      <c r="E80" s="77"/>
      <c r="F80" s="77"/>
      <c r="G80" s="77"/>
      <c r="H80" s="77"/>
      <c r="I80" s="77"/>
      <c r="J80" s="77"/>
      <c r="K80" s="77"/>
      <c r="L80" s="77"/>
      <c r="M80" s="77"/>
      <c r="N80" s="77"/>
      <c r="O80" s="77"/>
      <c r="P80" s="77"/>
      <c r="Q80" s="77"/>
    </row>
    <row r="81" spans="1:17" ht="15" x14ac:dyDescent="0.25">
      <c r="A81" s="77"/>
      <c r="B81" s="77"/>
      <c r="C81" s="77"/>
      <c r="D81" s="77"/>
      <c r="E81" s="77"/>
      <c r="F81" s="77"/>
      <c r="G81" s="77"/>
      <c r="H81" s="77"/>
      <c r="I81" s="77"/>
      <c r="J81" s="77"/>
      <c r="K81" s="77"/>
      <c r="L81" s="77"/>
      <c r="M81" s="77"/>
      <c r="N81" s="77"/>
      <c r="O81" s="77"/>
      <c r="P81" s="77"/>
      <c r="Q81" s="77"/>
    </row>
    <row r="82" spans="1:17" ht="15" x14ac:dyDescent="0.25">
      <c r="A82" s="77"/>
      <c r="B82" s="77"/>
      <c r="C82" s="77"/>
      <c r="D82" s="77"/>
      <c r="E82" s="77"/>
      <c r="F82" s="77"/>
      <c r="G82" s="77"/>
      <c r="H82" s="77"/>
      <c r="I82" s="77"/>
      <c r="J82" s="77"/>
      <c r="K82" s="77"/>
      <c r="L82" s="77"/>
      <c r="M82" s="77"/>
      <c r="N82" s="77"/>
      <c r="O82" s="77"/>
      <c r="P82" s="77"/>
      <c r="Q82" s="77"/>
    </row>
    <row r="83" spans="1:17" ht="15" x14ac:dyDescent="0.25">
      <c r="A83" s="77"/>
      <c r="B83" s="77"/>
      <c r="C83" s="77"/>
      <c r="D83" s="77"/>
      <c r="E83" s="77"/>
      <c r="F83" s="77"/>
      <c r="G83" s="77"/>
      <c r="H83" s="77"/>
      <c r="I83" s="77"/>
      <c r="J83" s="77"/>
      <c r="K83" s="77"/>
      <c r="L83" s="77"/>
      <c r="M83" s="77"/>
      <c r="N83" s="77"/>
      <c r="O83" s="77"/>
      <c r="P83" s="77"/>
      <c r="Q83" s="77"/>
    </row>
    <row r="84" spans="1:17" ht="15" x14ac:dyDescent="0.25">
      <c r="A84" s="77"/>
      <c r="B84" s="77"/>
      <c r="C84" s="77"/>
      <c r="D84" s="77"/>
      <c r="E84" s="77"/>
      <c r="F84" s="77"/>
      <c r="G84" s="77"/>
      <c r="H84" s="77"/>
      <c r="I84" s="77"/>
      <c r="J84" s="77"/>
      <c r="K84" s="77"/>
      <c r="L84" s="77"/>
      <c r="M84" s="77"/>
      <c r="N84" s="77"/>
      <c r="O84" s="77"/>
      <c r="P84" s="77"/>
      <c r="Q84" s="77"/>
    </row>
    <row r="85" spans="1:17" ht="15" x14ac:dyDescent="0.25">
      <c r="A85" s="77"/>
      <c r="B85" s="77"/>
      <c r="C85" s="77"/>
      <c r="D85" s="77"/>
      <c r="E85" s="77"/>
      <c r="F85" s="77"/>
      <c r="G85" s="77"/>
      <c r="H85" s="77"/>
      <c r="I85" s="77"/>
      <c r="J85" s="77"/>
      <c r="K85" s="77"/>
      <c r="L85" s="77"/>
      <c r="M85" s="77"/>
      <c r="N85" s="77"/>
      <c r="O85" s="77"/>
      <c r="P85" s="77"/>
      <c r="Q85" s="77"/>
    </row>
    <row r="86" spans="1:17" ht="15" x14ac:dyDescent="0.25">
      <c r="A86" s="77"/>
      <c r="B86" s="77"/>
      <c r="C86" s="77"/>
      <c r="D86" s="77"/>
      <c r="E86" s="77"/>
      <c r="F86" s="77"/>
      <c r="G86" s="77"/>
      <c r="H86" s="77"/>
      <c r="I86" s="77"/>
      <c r="J86" s="77"/>
      <c r="K86" s="77"/>
      <c r="L86" s="77"/>
      <c r="M86" s="77"/>
      <c r="N86" s="77"/>
      <c r="O86" s="77"/>
      <c r="P86" s="77"/>
      <c r="Q86" s="77"/>
    </row>
    <row r="87" spans="1:17" ht="15" x14ac:dyDescent="0.25">
      <c r="A87" s="77"/>
      <c r="B87" s="77"/>
      <c r="C87" s="77"/>
      <c r="D87" s="77"/>
      <c r="E87" s="77"/>
      <c r="F87" s="77"/>
      <c r="G87" s="77"/>
      <c r="H87" s="77"/>
      <c r="I87" s="77"/>
      <c r="J87" s="77"/>
      <c r="K87" s="77"/>
      <c r="L87" s="77"/>
      <c r="M87" s="77"/>
      <c r="N87" s="77"/>
      <c r="O87" s="77"/>
      <c r="P87" s="77"/>
      <c r="Q87" s="77"/>
    </row>
    <row r="88" spans="1:17" ht="15" x14ac:dyDescent="0.25">
      <c r="A88" s="77"/>
      <c r="B88" s="77"/>
      <c r="C88" s="77"/>
      <c r="D88" s="77"/>
      <c r="E88" s="77"/>
      <c r="F88" s="77"/>
      <c r="G88" s="77"/>
      <c r="H88" s="77"/>
      <c r="I88" s="77"/>
      <c r="J88" s="77"/>
      <c r="K88" s="77"/>
      <c r="L88" s="77"/>
      <c r="M88" s="77"/>
      <c r="N88" s="77"/>
      <c r="O88" s="77"/>
      <c r="P88" s="77"/>
      <c r="Q88" s="77"/>
    </row>
    <row r="89" spans="1:17" ht="15" x14ac:dyDescent="0.25">
      <c r="A89" s="77"/>
      <c r="B89" s="77"/>
      <c r="C89" s="77"/>
      <c r="D89" s="77"/>
      <c r="E89" s="77"/>
      <c r="F89" s="77"/>
      <c r="G89" s="77"/>
      <c r="H89" s="77"/>
      <c r="I89" s="77"/>
      <c r="J89" s="77"/>
      <c r="K89" s="77"/>
      <c r="L89" s="77"/>
      <c r="M89" s="77"/>
      <c r="N89" s="77"/>
      <c r="O89" s="77"/>
      <c r="P89" s="77"/>
      <c r="Q89" s="77"/>
    </row>
    <row r="90" spans="1:17" ht="15" x14ac:dyDescent="0.25">
      <c r="A90" s="77"/>
      <c r="B90" s="77"/>
      <c r="C90" s="77"/>
      <c r="D90" s="77"/>
      <c r="E90" s="77"/>
      <c r="F90" s="77"/>
      <c r="G90" s="77"/>
      <c r="H90" s="77"/>
      <c r="I90" s="77"/>
      <c r="J90" s="77"/>
      <c r="K90" s="77"/>
      <c r="L90" s="77"/>
      <c r="M90" s="77"/>
      <c r="N90" s="77"/>
      <c r="O90" s="77"/>
      <c r="P90" s="77"/>
      <c r="Q90" s="77"/>
    </row>
    <row r="91" spans="1:17" ht="15" x14ac:dyDescent="0.25">
      <c r="A91" s="77"/>
      <c r="B91" s="77"/>
      <c r="C91" s="77"/>
      <c r="D91" s="77"/>
      <c r="E91" s="77"/>
      <c r="F91" s="77"/>
      <c r="G91" s="77"/>
      <c r="H91" s="77"/>
      <c r="I91" s="77"/>
      <c r="J91" s="77"/>
      <c r="K91" s="77"/>
      <c r="L91" s="77"/>
      <c r="M91" s="77"/>
      <c r="N91" s="77"/>
      <c r="O91" s="77"/>
      <c r="P91" s="77"/>
      <c r="Q91" s="77"/>
    </row>
    <row r="92" spans="1:17" ht="15" x14ac:dyDescent="0.25">
      <c r="A92" s="77"/>
      <c r="B92" s="77"/>
      <c r="C92" s="77"/>
      <c r="D92" s="77"/>
      <c r="E92" s="77"/>
      <c r="F92" s="77"/>
      <c r="G92" s="77"/>
      <c r="H92" s="77"/>
      <c r="I92" s="77"/>
      <c r="J92" s="77"/>
      <c r="K92" s="77"/>
      <c r="L92" s="77"/>
      <c r="M92" s="77"/>
      <c r="N92" s="77"/>
      <c r="O92" s="77"/>
      <c r="P92" s="77"/>
      <c r="Q92" s="77"/>
    </row>
    <row r="93" spans="1:17" ht="15" x14ac:dyDescent="0.25">
      <c r="A93" s="77"/>
      <c r="B93" s="77"/>
      <c r="C93" s="77"/>
      <c r="D93" s="77"/>
      <c r="E93" s="77"/>
      <c r="F93" s="77"/>
      <c r="G93" s="77"/>
      <c r="H93" s="77"/>
      <c r="I93" s="77"/>
      <c r="J93" s="77"/>
      <c r="K93" s="77"/>
      <c r="L93" s="77"/>
      <c r="M93" s="77"/>
      <c r="N93" s="77"/>
      <c r="O93" s="77"/>
      <c r="P93" s="77"/>
      <c r="Q93" s="77"/>
    </row>
    <row r="94" spans="1:17" ht="15" x14ac:dyDescent="0.25">
      <c r="A94" s="77"/>
      <c r="B94" s="77"/>
      <c r="C94" s="77"/>
      <c r="D94" s="77"/>
      <c r="E94" s="77"/>
      <c r="F94" s="77"/>
      <c r="G94" s="77"/>
      <c r="H94" s="77"/>
      <c r="I94" s="77"/>
      <c r="J94" s="77"/>
      <c r="K94" s="77"/>
      <c r="L94" s="77"/>
      <c r="M94" s="77"/>
      <c r="N94" s="77"/>
      <c r="O94" s="77"/>
      <c r="P94" s="77"/>
      <c r="Q94" s="77"/>
    </row>
    <row r="95" spans="1:17" ht="15" x14ac:dyDescent="0.25">
      <c r="A95" s="77"/>
      <c r="B95" s="77"/>
      <c r="C95" s="77"/>
      <c r="D95" s="77"/>
      <c r="E95" s="77"/>
      <c r="F95" s="77"/>
      <c r="G95" s="77"/>
      <c r="H95" s="77"/>
      <c r="I95" s="77"/>
      <c r="J95" s="77"/>
      <c r="K95" s="77"/>
      <c r="L95" s="77"/>
      <c r="M95" s="77"/>
      <c r="N95" s="77"/>
      <c r="O95" s="77"/>
      <c r="P95" s="77"/>
      <c r="Q95" s="77"/>
    </row>
    <row r="96" spans="1:17" ht="15" x14ac:dyDescent="0.25">
      <c r="A96" s="77"/>
      <c r="B96" s="77"/>
      <c r="C96" s="77"/>
      <c r="D96" s="77"/>
      <c r="E96" s="77"/>
      <c r="F96" s="77"/>
      <c r="G96" s="77"/>
      <c r="H96" s="77"/>
      <c r="I96" s="77"/>
      <c r="J96" s="77"/>
      <c r="K96" s="77"/>
      <c r="L96" s="77"/>
      <c r="M96" s="77"/>
      <c r="N96" s="77"/>
      <c r="O96" s="77"/>
      <c r="P96" s="77"/>
      <c r="Q96" s="77"/>
    </row>
    <row r="97" spans="1:17" ht="15" x14ac:dyDescent="0.25">
      <c r="A97" s="77"/>
      <c r="B97" s="77"/>
      <c r="C97" s="77"/>
      <c r="D97" s="77"/>
      <c r="E97" s="77"/>
      <c r="F97" s="77"/>
      <c r="G97" s="77"/>
      <c r="H97" s="77"/>
      <c r="I97" s="77"/>
      <c r="J97" s="77"/>
      <c r="K97" s="77"/>
      <c r="L97" s="77"/>
      <c r="M97" s="77"/>
      <c r="N97" s="77"/>
      <c r="O97" s="77"/>
      <c r="P97" s="77"/>
      <c r="Q97" s="77"/>
    </row>
    <row r="98" spans="1:17" ht="15" x14ac:dyDescent="0.25">
      <c r="A98" s="77"/>
      <c r="B98" s="77"/>
      <c r="C98" s="77"/>
      <c r="D98" s="77"/>
      <c r="E98" s="77"/>
      <c r="F98" s="77"/>
      <c r="G98" s="77"/>
      <c r="H98" s="77"/>
      <c r="I98" s="77"/>
      <c r="J98" s="77"/>
      <c r="K98" s="77"/>
      <c r="L98" s="77"/>
      <c r="M98" s="77"/>
      <c r="N98" s="77"/>
      <c r="O98" s="77"/>
      <c r="P98" s="77"/>
      <c r="Q98" s="77"/>
    </row>
    <row r="99" spans="1:17" ht="15.6" thickBot="1" x14ac:dyDescent="0.3">
      <c r="A99" s="77"/>
      <c r="B99" s="77"/>
      <c r="C99" s="77"/>
      <c r="D99" s="77"/>
      <c r="E99" s="77"/>
      <c r="F99" s="77"/>
      <c r="G99" s="77"/>
      <c r="H99" s="77"/>
      <c r="I99" s="77"/>
      <c r="J99" s="77"/>
      <c r="K99" s="77"/>
      <c r="L99" s="77"/>
      <c r="M99" s="77"/>
      <c r="N99" s="77"/>
      <c r="O99" s="77"/>
      <c r="P99" s="77"/>
      <c r="Q99" s="77"/>
    </row>
    <row r="100" spans="1:17" ht="17.399999999999999" x14ac:dyDescent="0.25">
      <c r="A100" s="909" t="s">
        <v>195</v>
      </c>
      <c r="B100" s="910"/>
      <c r="C100" s="910"/>
      <c r="D100" s="910"/>
      <c r="E100" s="910"/>
      <c r="F100" s="911"/>
      <c r="G100" s="77"/>
      <c r="H100" s="77"/>
      <c r="I100" s="77"/>
      <c r="J100" s="77"/>
      <c r="K100" s="77"/>
      <c r="L100" s="77"/>
      <c r="M100" s="77"/>
      <c r="N100" s="77"/>
      <c r="O100" s="77"/>
      <c r="P100" s="77"/>
      <c r="Q100" s="77"/>
    </row>
    <row r="101" spans="1:17" ht="18" thickBot="1" x14ac:dyDescent="0.3">
      <c r="A101" s="302"/>
      <c r="B101" s="303"/>
      <c r="C101" s="303"/>
      <c r="D101" s="303"/>
      <c r="E101" s="303"/>
      <c r="F101" s="304"/>
      <c r="G101" s="77"/>
      <c r="H101" s="77"/>
      <c r="I101" s="77"/>
      <c r="J101" s="77"/>
      <c r="K101" s="77"/>
      <c r="L101" s="77"/>
      <c r="M101" s="77"/>
      <c r="N101" s="77"/>
      <c r="O101" s="77"/>
      <c r="P101" s="77"/>
      <c r="Q101" s="77"/>
    </row>
    <row r="102" spans="1:17" ht="34.799999999999997" x14ac:dyDescent="0.25">
      <c r="A102" s="314" t="s">
        <v>5</v>
      </c>
      <c r="B102" s="315" t="s">
        <v>6</v>
      </c>
      <c r="C102" s="315" t="s">
        <v>13</v>
      </c>
      <c r="D102" s="315" t="s">
        <v>82</v>
      </c>
      <c r="E102" s="315" t="s">
        <v>115</v>
      </c>
      <c r="F102" s="316" t="s">
        <v>116</v>
      </c>
      <c r="G102" s="77"/>
      <c r="H102" s="77"/>
      <c r="I102" s="77"/>
      <c r="J102" s="77"/>
      <c r="K102" s="77"/>
      <c r="L102" s="77"/>
      <c r="M102" s="77"/>
      <c r="N102" s="77"/>
      <c r="O102" s="77"/>
      <c r="P102" s="77"/>
      <c r="Q102" s="77"/>
    </row>
    <row r="103" spans="1:17" ht="18" customHeight="1" x14ac:dyDescent="0.3">
      <c r="A103" s="318" t="s">
        <v>239</v>
      </c>
      <c r="B103" s="317"/>
      <c r="C103" s="317"/>
      <c r="D103" s="317"/>
      <c r="E103" s="317"/>
      <c r="F103" s="319"/>
      <c r="G103" s="77"/>
      <c r="H103" s="77"/>
      <c r="I103" s="77"/>
      <c r="J103" s="77"/>
      <c r="K103" s="77"/>
      <c r="L103" s="77"/>
      <c r="M103" s="77"/>
      <c r="N103" s="77"/>
      <c r="O103" s="77"/>
      <c r="P103" s="77"/>
      <c r="Q103" s="77"/>
    </row>
    <row r="104" spans="1:17" ht="34.799999999999997" x14ac:dyDescent="0.25">
      <c r="A104" s="305" t="s">
        <v>91</v>
      </c>
      <c r="B104" s="306" t="s">
        <v>190</v>
      </c>
      <c r="C104" s="306" t="s">
        <v>18</v>
      </c>
      <c r="D104" s="307" t="s">
        <v>8</v>
      </c>
      <c r="E104" s="306" t="s">
        <v>36</v>
      </c>
      <c r="F104" s="308" t="s">
        <v>29</v>
      </c>
      <c r="G104" s="77"/>
      <c r="H104" s="77"/>
      <c r="I104" s="77"/>
      <c r="J104" s="77"/>
      <c r="K104" s="77"/>
      <c r="L104" s="77"/>
      <c r="M104" s="77"/>
      <c r="N104" s="77"/>
      <c r="O104" s="77"/>
      <c r="P104" s="77"/>
      <c r="Q104" s="77"/>
    </row>
    <row r="105" spans="1:17" ht="69.599999999999994" x14ac:dyDescent="0.25">
      <c r="A105" s="305" t="s">
        <v>27</v>
      </c>
      <c r="B105" s="306" t="s">
        <v>192</v>
      </c>
      <c r="C105" s="306" t="s">
        <v>15</v>
      </c>
      <c r="D105" s="307" t="s">
        <v>84</v>
      </c>
      <c r="E105" s="306" t="s">
        <v>35</v>
      </c>
      <c r="F105" s="308" t="s">
        <v>28</v>
      </c>
      <c r="G105" s="77"/>
      <c r="H105" s="77"/>
      <c r="I105" s="77"/>
      <c r="J105" s="77"/>
      <c r="K105" s="77"/>
      <c r="L105" s="77"/>
      <c r="M105" s="77"/>
      <c r="N105" s="77"/>
      <c r="O105" s="77"/>
      <c r="P105" s="77"/>
      <c r="Q105" s="77"/>
    </row>
    <row r="106" spans="1:17" ht="69.599999999999994" x14ac:dyDescent="0.25">
      <c r="A106" s="309" t="s">
        <v>125</v>
      </c>
      <c r="B106" s="306" t="s">
        <v>191</v>
      </c>
      <c r="C106" s="306" t="s">
        <v>16</v>
      </c>
      <c r="D106" s="307"/>
      <c r="E106" s="306" t="s">
        <v>46</v>
      </c>
      <c r="F106" s="308" t="s">
        <v>34</v>
      </c>
      <c r="G106" s="77"/>
      <c r="H106" s="77"/>
      <c r="I106" s="77"/>
      <c r="J106" s="77"/>
      <c r="K106" s="77"/>
      <c r="L106" s="77"/>
      <c r="M106" s="77"/>
      <c r="N106" s="77"/>
      <c r="O106" s="77"/>
      <c r="P106" s="77"/>
      <c r="Q106" s="77"/>
    </row>
    <row r="107" spans="1:17" ht="34.799999999999997" x14ac:dyDescent="0.25">
      <c r="A107" s="309" t="s">
        <v>128</v>
      </c>
      <c r="B107" s="306" t="s">
        <v>193</v>
      </c>
      <c r="C107" s="306" t="s">
        <v>20</v>
      </c>
      <c r="D107" s="307"/>
      <c r="E107" s="306" t="s">
        <v>142</v>
      </c>
      <c r="F107" s="308" t="s">
        <v>142</v>
      </c>
      <c r="G107" s="77"/>
      <c r="H107" s="77"/>
      <c r="I107" s="77"/>
      <c r="J107" s="77"/>
      <c r="K107" s="77"/>
      <c r="L107" s="77"/>
      <c r="M107" s="77"/>
      <c r="N107" s="77"/>
      <c r="O107" s="77"/>
      <c r="P107" s="77"/>
      <c r="Q107" s="77"/>
    </row>
    <row r="108" spans="1:17" ht="34.799999999999997" x14ac:dyDescent="0.25">
      <c r="A108" s="305" t="s">
        <v>92</v>
      </c>
      <c r="B108" s="306"/>
      <c r="C108" s="306" t="s">
        <v>19</v>
      </c>
      <c r="D108" s="307"/>
      <c r="E108" s="306" t="s">
        <v>37</v>
      </c>
      <c r="F108" s="308" t="s">
        <v>30</v>
      </c>
      <c r="G108" s="77"/>
      <c r="H108" s="77"/>
      <c r="I108" s="77"/>
      <c r="J108" s="77"/>
      <c r="K108" s="77"/>
      <c r="L108" s="77"/>
      <c r="M108" s="77"/>
      <c r="N108" s="77"/>
      <c r="O108" s="77"/>
      <c r="P108" s="77"/>
      <c r="Q108" s="77"/>
    </row>
    <row r="109" spans="1:17" ht="34.799999999999997" x14ac:dyDescent="0.25">
      <c r="A109" s="309" t="s">
        <v>194</v>
      </c>
      <c r="B109" s="307"/>
      <c r="C109" s="306" t="s">
        <v>21</v>
      </c>
      <c r="D109" s="307"/>
      <c r="E109" s="306" t="s">
        <v>117</v>
      </c>
      <c r="F109" s="308" t="s">
        <v>121</v>
      </c>
      <c r="G109" s="77"/>
      <c r="H109" s="77"/>
      <c r="I109" s="77"/>
      <c r="J109" s="77"/>
      <c r="K109" s="77"/>
      <c r="L109" s="77"/>
      <c r="M109" s="77"/>
      <c r="N109" s="77"/>
      <c r="O109" s="77"/>
      <c r="P109" s="77"/>
      <c r="Q109" s="77"/>
    </row>
    <row r="110" spans="1:17" ht="34.799999999999997" x14ac:dyDescent="0.25">
      <c r="A110" s="305" t="s">
        <v>11</v>
      </c>
      <c r="B110" s="307"/>
      <c r="C110" s="306" t="s">
        <v>14</v>
      </c>
      <c r="D110" s="307"/>
      <c r="E110" s="306" t="s">
        <v>42</v>
      </c>
      <c r="F110" s="308" t="s">
        <v>40</v>
      </c>
      <c r="G110" s="77"/>
      <c r="H110" s="77"/>
      <c r="I110" s="77"/>
      <c r="J110" s="77"/>
      <c r="K110" s="77"/>
      <c r="L110" s="77"/>
      <c r="M110" s="77"/>
      <c r="N110" s="77"/>
      <c r="O110" s="77"/>
      <c r="P110" s="77"/>
      <c r="Q110" s="77"/>
    </row>
    <row r="111" spans="1:17" ht="22.5" customHeight="1" x14ac:dyDescent="0.25">
      <c r="A111" s="305" t="s">
        <v>1</v>
      </c>
      <c r="B111" s="307"/>
      <c r="C111" s="306" t="s">
        <v>17</v>
      </c>
      <c r="D111" s="307"/>
      <c r="E111" s="306" t="s">
        <v>38</v>
      </c>
      <c r="F111" s="308" t="s">
        <v>31</v>
      </c>
      <c r="G111" s="77"/>
      <c r="H111" s="77"/>
      <c r="I111" s="77"/>
      <c r="J111" s="77"/>
      <c r="K111" s="77"/>
      <c r="L111" s="77"/>
      <c r="M111" s="77"/>
      <c r="N111" s="77"/>
      <c r="O111" s="77"/>
      <c r="P111" s="77"/>
      <c r="Q111" s="77"/>
    </row>
    <row r="112" spans="1:17" ht="24.75" customHeight="1" x14ac:dyDescent="0.25">
      <c r="A112" s="305" t="s">
        <v>4</v>
      </c>
      <c r="B112" s="307"/>
      <c r="C112" s="306"/>
      <c r="D112" s="307"/>
      <c r="E112" s="306" t="s">
        <v>41</v>
      </c>
      <c r="F112" s="308" t="s">
        <v>39</v>
      </c>
      <c r="G112" s="77"/>
      <c r="H112" s="77"/>
      <c r="I112" s="77"/>
      <c r="J112" s="77"/>
      <c r="K112" s="77"/>
      <c r="L112" s="77"/>
      <c r="M112" s="77"/>
      <c r="N112" s="77"/>
      <c r="O112" s="77"/>
      <c r="P112" s="77"/>
      <c r="Q112" s="77"/>
    </row>
    <row r="113" spans="1:17" ht="24" customHeight="1" x14ac:dyDescent="0.25">
      <c r="A113" s="309" t="s">
        <v>126</v>
      </c>
      <c r="B113" s="307"/>
      <c r="C113" s="306"/>
      <c r="D113" s="307"/>
      <c r="E113" s="306" t="s">
        <v>43</v>
      </c>
      <c r="F113" s="308" t="s">
        <v>120</v>
      </c>
      <c r="G113" s="77"/>
      <c r="H113" s="77"/>
      <c r="I113" s="77"/>
      <c r="J113" s="77"/>
      <c r="K113" s="77"/>
      <c r="L113" s="77"/>
      <c r="M113" s="77"/>
      <c r="N113" s="77"/>
      <c r="O113" s="77"/>
      <c r="P113" s="77"/>
      <c r="Q113" s="77"/>
    </row>
    <row r="114" spans="1:17" ht="41.25" customHeight="1" x14ac:dyDescent="0.25">
      <c r="A114" s="305" t="s">
        <v>238</v>
      </c>
      <c r="B114" s="307"/>
      <c r="C114" s="306"/>
      <c r="D114" s="307"/>
      <c r="E114" s="306" t="s">
        <v>118</v>
      </c>
      <c r="F114" s="308" t="s">
        <v>122</v>
      </c>
      <c r="G114" s="77"/>
      <c r="H114" s="77"/>
      <c r="I114" s="77"/>
      <c r="J114" s="77"/>
      <c r="K114" s="77"/>
      <c r="L114" s="77"/>
      <c r="M114" s="77"/>
      <c r="N114" s="77"/>
      <c r="O114" s="77"/>
      <c r="P114" s="77"/>
      <c r="Q114" s="77"/>
    </row>
    <row r="115" spans="1:17" ht="25.5" customHeight="1" thickBot="1" x14ac:dyDescent="0.3">
      <c r="A115" s="310" t="s">
        <v>183</v>
      </c>
      <c r="B115" s="311"/>
      <c r="C115" s="312"/>
      <c r="D115" s="311"/>
      <c r="E115" s="312" t="s">
        <v>45</v>
      </c>
      <c r="F115" s="313" t="s">
        <v>32</v>
      </c>
    </row>
  </sheetData>
  <mergeCells count="7">
    <mergeCell ref="A42:F42"/>
    <mergeCell ref="A100:F100"/>
    <mergeCell ref="A1:O1"/>
    <mergeCell ref="A3:O3"/>
    <mergeCell ref="A11:O11"/>
    <mergeCell ref="A29:O29"/>
    <mergeCell ref="A41:O41"/>
  </mergeCells>
  <dataValidations count="9">
    <dataValidation type="list" allowBlank="1" showInputMessage="1" showErrorMessage="1" sqref="C32:D40" xr:uid="{00000000-0002-0000-2500-000000000000}">
      <formula1>#REF!</formula1>
    </dataValidation>
    <dataValidation type="list" allowBlank="1" showInputMessage="1" showErrorMessage="1" sqref="C20:D27 C5:D10 C31:D31 C14:C17" xr:uid="{00000000-0002-0000-2500-000001000000}">
      <formula1>$A$104:$A$116</formula1>
    </dataValidation>
    <dataValidation type="list" allowBlank="1" showInputMessage="1" showErrorMessage="1" sqref="F5:F10 F20:F27 F31" xr:uid="{00000000-0002-0000-2500-000002000000}">
      <formula1>$E$104:$E$118</formula1>
    </dataValidation>
    <dataValidation type="list" allowBlank="1" showInputMessage="1" showErrorMessage="1" sqref="E5:E10 E14:E17 E31 E20:E27" xr:uid="{00000000-0002-0000-2500-000003000000}">
      <formula1>$F$104:$F$115</formula1>
    </dataValidation>
    <dataValidation type="list" allowBlank="1" showInputMessage="1" showErrorMessage="1" sqref="B5:B10 B31 B14:B17 B20:B27" xr:uid="{00000000-0002-0000-2500-000004000000}">
      <formula1>$B$104:$B$108</formula1>
    </dataValidation>
    <dataValidation type="list" allowBlank="1" showInputMessage="1" showErrorMessage="1" sqref="A5:A10 A31:A32 A14:A17 A20:A27" xr:uid="{00000000-0002-0000-2500-000005000000}">
      <formula1>$D$104:$D$106</formula1>
    </dataValidation>
    <dataValidation type="list" allowBlank="1" showInputMessage="1" showErrorMessage="1" sqref="G5:G10 G20:G27 G31 G14:G17" xr:uid="{00000000-0002-0000-2500-000006000000}">
      <formula1>$C$104:$C$112</formula1>
    </dataValidation>
    <dataValidation type="list" allowBlank="1" showInputMessage="1" showErrorMessage="1" sqref="D14:D17" xr:uid="{00000000-0002-0000-2500-000007000000}">
      <formula1>$A$103:$A$116</formula1>
    </dataValidation>
    <dataValidation type="list" allowBlank="1" showInputMessage="1" showErrorMessage="1" sqref="F14 F15 F16 F17" xr:uid="{00000000-0002-0000-2500-000008000000}">
      <formula1>$E$104:$E$115</formula1>
    </dataValidation>
  </dataValidations>
  <pageMargins left="0.7" right="0.7" top="0.75" bottom="0.75" header="0.3" footer="0.3"/>
  <legacyDrawing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19">
    <tabColor rgb="FFFF0000"/>
    <pageSetUpPr fitToPage="1"/>
  </sheetPr>
  <dimension ref="A1:X118"/>
  <sheetViews>
    <sheetView zoomScale="55" zoomScaleNormal="55" workbookViewId="0">
      <pane ySplit="2" topLeftCell="A18" activePane="bottomLeft" state="frozen"/>
      <selection activeCell="DD94" sqref="DD94"/>
      <selection pane="bottomLeft" activeCell="DD94" sqref="DD94"/>
    </sheetView>
  </sheetViews>
  <sheetFormatPr defaultColWidth="20.44140625" defaultRowHeight="42" customHeight="1" x14ac:dyDescent="0.25"/>
  <cols>
    <col min="1" max="1" width="26.44140625" style="77" customWidth="1"/>
    <col min="2" max="2" width="20.44140625" style="77"/>
    <col min="3" max="3" width="20.44140625" style="77" customWidth="1"/>
    <col min="4" max="17" width="20.44140625" style="77"/>
    <col min="18" max="18" width="47.6640625" style="77" customWidth="1"/>
    <col min="19" max="19" width="27" style="77" customWidth="1"/>
    <col min="20" max="21" width="20.44140625" style="77"/>
    <col min="22" max="23" width="20.44140625" style="99"/>
    <col min="24" max="16384" width="20.44140625" style="77"/>
  </cols>
  <sheetData>
    <row r="1" spans="1:24" ht="42" customHeight="1" thickBot="1" x14ac:dyDescent="0.3">
      <c r="A1" s="900" t="s">
        <v>189</v>
      </c>
      <c r="B1" s="900"/>
      <c r="C1" s="900"/>
      <c r="D1" s="900"/>
      <c r="E1" s="900"/>
      <c r="F1" s="900"/>
      <c r="G1" s="900"/>
      <c r="H1" s="900"/>
      <c r="I1" s="900"/>
      <c r="J1" s="900"/>
      <c r="K1" s="900"/>
      <c r="L1" s="900"/>
      <c r="M1" s="900"/>
      <c r="N1" s="900"/>
      <c r="O1" s="900"/>
      <c r="Q1" s="76"/>
      <c r="R1" s="76"/>
      <c r="S1" s="76"/>
      <c r="T1" s="76"/>
      <c r="U1" s="76"/>
      <c r="V1" s="76"/>
      <c r="W1" s="76"/>
      <c r="X1" s="76"/>
    </row>
    <row r="2" spans="1:24" ht="30" customHeight="1" x14ac:dyDescent="0.25">
      <c r="A2" s="171" t="s">
        <v>188</v>
      </c>
      <c r="B2" s="175">
        <v>40908</v>
      </c>
      <c r="C2" s="171"/>
      <c r="D2" s="171"/>
      <c r="E2" s="171"/>
      <c r="F2" s="171"/>
      <c r="G2" s="171"/>
      <c r="H2" s="171"/>
      <c r="I2" s="171"/>
      <c r="J2" s="171"/>
      <c r="K2" s="171"/>
      <c r="L2" s="171"/>
      <c r="M2" s="171"/>
      <c r="N2" s="171"/>
      <c r="O2" s="171"/>
      <c r="Q2" s="76"/>
      <c r="R2" s="76"/>
      <c r="S2" s="76"/>
      <c r="T2" s="76"/>
      <c r="U2" s="76"/>
      <c r="V2" s="76"/>
      <c r="W2" s="76"/>
      <c r="X2" s="76"/>
    </row>
    <row r="3" spans="1:24" ht="42" customHeight="1" x14ac:dyDescent="0.25">
      <c r="A3" s="901" t="s">
        <v>204</v>
      </c>
      <c r="B3" s="902"/>
      <c r="C3" s="902"/>
      <c r="D3" s="902"/>
      <c r="E3" s="902"/>
      <c r="F3" s="902"/>
      <c r="G3" s="902"/>
      <c r="H3" s="902"/>
      <c r="I3" s="902"/>
      <c r="J3" s="902"/>
      <c r="K3" s="902"/>
      <c r="L3" s="902"/>
      <c r="M3" s="902"/>
      <c r="N3" s="902"/>
      <c r="O3" s="903"/>
      <c r="P3" s="75"/>
      <c r="Q3" s="76"/>
      <c r="R3" s="76"/>
      <c r="S3" s="76"/>
      <c r="T3" s="76"/>
      <c r="U3" s="76"/>
      <c r="V3" s="76"/>
      <c r="W3" s="76"/>
      <c r="X3" s="76"/>
    </row>
    <row r="4" spans="1:24" s="75" customFormat="1" ht="66.75" customHeight="1" x14ac:dyDescent="0.25">
      <c r="A4" s="176" t="s">
        <v>89</v>
      </c>
      <c r="B4" s="176" t="s">
        <v>90</v>
      </c>
      <c r="C4" s="177" t="s">
        <v>0</v>
      </c>
      <c r="D4" s="177" t="s">
        <v>124</v>
      </c>
      <c r="E4" s="176" t="s">
        <v>143</v>
      </c>
      <c r="F4" s="176" t="s">
        <v>144</v>
      </c>
      <c r="G4" s="176" t="s">
        <v>13</v>
      </c>
      <c r="H4" s="176" t="s">
        <v>88</v>
      </c>
      <c r="I4" s="176" t="s">
        <v>12</v>
      </c>
      <c r="J4" s="176" t="s">
        <v>158</v>
      </c>
      <c r="K4" s="176" t="s">
        <v>148</v>
      </c>
      <c r="L4" s="176" t="s">
        <v>153</v>
      </c>
      <c r="M4" s="176" t="s">
        <v>104</v>
      </c>
      <c r="N4" s="176" t="s">
        <v>154</v>
      </c>
      <c r="O4" s="176" t="s">
        <v>205</v>
      </c>
      <c r="P4" s="77"/>
      <c r="Q4" s="76"/>
      <c r="R4" s="76"/>
      <c r="S4" s="76"/>
      <c r="T4" s="76"/>
      <c r="U4" s="76"/>
      <c r="V4" s="76"/>
      <c r="W4" s="76"/>
      <c r="X4" s="76"/>
    </row>
    <row r="5" spans="1:24" ht="42" customHeight="1" x14ac:dyDescent="0.25">
      <c r="A5" s="82" t="s">
        <v>84</v>
      </c>
      <c r="B5" s="83" t="s">
        <v>3</v>
      </c>
      <c r="C5" s="83" t="s">
        <v>1</v>
      </c>
      <c r="D5" s="83" t="s">
        <v>1</v>
      </c>
      <c r="E5" s="84" t="s">
        <v>120</v>
      </c>
      <c r="F5" s="84" t="s">
        <v>42</v>
      </c>
      <c r="G5" s="83" t="s">
        <v>14</v>
      </c>
      <c r="H5" s="85">
        <v>44423</v>
      </c>
      <c r="I5" s="83" t="s">
        <v>23</v>
      </c>
      <c r="J5" s="173">
        <v>143.66499999999999</v>
      </c>
      <c r="K5" s="296">
        <v>125.28</v>
      </c>
      <c r="L5" s="173">
        <f>+N5-M5</f>
        <v>17.400000000000002</v>
      </c>
      <c r="M5" s="173">
        <v>1.7</v>
      </c>
      <c r="N5" s="173">
        <v>19.100000000000001</v>
      </c>
      <c r="O5" s="187"/>
      <c r="V5" s="77"/>
      <c r="W5" s="77"/>
    </row>
    <row r="6" spans="1:24" ht="42" customHeight="1" x14ac:dyDescent="0.25">
      <c r="A6" s="90" t="s">
        <v>84</v>
      </c>
      <c r="B6" s="91" t="s">
        <v>3</v>
      </c>
      <c r="C6" s="91" t="s">
        <v>1</v>
      </c>
      <c r="D6" s="91" t="s">
        <v>1</v>
      </c>
      <c r="E6" s="92" t="s">
        <v>120</v>
      </c>
      <c r="F6" s="91" t="s">
        <v>42</v>
      </c>
      <c r="G6" s="91" t="s">
        <v>14</v>
      </c>
      <c r="H6" s="93">
        <v>44576</v>
      </c>
      <c r="I6" s="91" t="s">
        <v>24</v>
      </c>
      <c r="J6" s="174">
        <v>27.395</v>
      </c>
      <c r="K6" s="295">
        <f>152.5375-K5</f>
        <v>27.257499999999993</v>
      </c>
      <c r="L6" s="174">
        <f>+N6-M6</f>
        <v>4.8899999999999997</v>
      </c>
      <c r="M6" s="174">
        <v>7.0000000000000007E-2</v>
      </c>
      <c r="N6" s="174">
        <v>4.96</v>
      </c>
      <c r="O6" s="188"/>
      <c r="V6" s="77"/>
      <c r="W6" s="77"/>
    </row>
    <row r="7" spans="1:24" ht="42" customHeight="1" x14ac:dyDescent="0.25">
      <c r="A7" s="82" t="s">
        <v>84</v>
      </c>
      <c r="B7" s="83" t="s">
        <v>3</v>
      </c>
      <c r="C7" s="83" t="s">
        <v>194</v>
      </c>
      <c r="D7" s="83" t="s">
        <v>194</v>
      </c>
      <c r="E7" s="84" t="s">
        <v>39</v>
      </c>
      <c r="F7" s="84" t="s">
        <v>36</v>
      </c>
      <c r="G7" s="83" t="s">
        <v>14</v>
      </c>
      <c r="H7" s="85">
        <v>44576</v>
      </c>
      <c r="I7" s="83" t="s">
        <v>24</v>
      </c>
      <c r="J7" s="173">
        <v>26.85</v>
      </c>
      <c r="K7" s="296">
        <v>26.7425</v>
      </c>
      <c r="L7" s="173">
        <f>+N7-M7</f>
        <v>4.8</v>
      </c>
      <c r="M7" s="173">
        <v>7.0000000000000007E-2</v>
      </c>
      <c r="N7" s="173">
        <v>4.87</v>
      </c>
      <c r="O7" s="187"/>
      <c r="V7" s="77"/>
      <c r="W7" s="77"/>
    </row>
    <row r="8" spans="1:24" ht="42" customHeight="1" x14ac:dyDescent="0.25">
      <c r="A8" s="90" t="s">
        <v>84</v>
      </c>
      <c r="B8" s="91" t="s">
        <v>3</v>
      </c>
      <c r="C8" s="91" t="s">
        <v>11</v>
      </c>
      <c r="D8" s="91" t="s">
        <v>125</v>
      </c>
      <c r="E8" s="92" t="s">
        <v>39</v>
      </c>
      <c r="F8" s="91" t="s">
        <v>38</v>
      </c>
      <c r="G8" s="91" t="s">
        <v>14</v>
      </c>
      <c r="H8" s="93">
        <v>46296</v>
      </c>
      <c r="I8" s="91" t="s">
        <v>25</v>
      </c>
      <c r="J8" s="174">
        <v>40.875</v>
      </c>
      <c r="K8" s="174">
        <v>39.75</v>
      </c>
      <c r="L8" s="174">
        <f>+N8-M8</f>
        <v>6.91</v>
      </c>
      <c r="M8" s="174">
        <v>0.06</v>
      </c>
      <c r="N8" s="174">
        <v>6.97</v>
      </c>
      <c r="O8" s="188"/>
      <c r="V8" s="77"/>
      <c r="W8" s="77"/>
    </row>
    <row r="9" spans="1:24" s="97" customFormat="1" ht="42" customHeight="1" x14ac:dyDescent="0.25">
      <c r="A9" s="98"/>
      <c r="B9" s="111"/>
      <c r="C9" s="111"/>
      <c r="D9" s="111"/>
      <c r="E9" s="123"/>
      <c r="F9" s="111"/>
      <c r="G9" s="111"/>
      <c r="H9" s="114"/>
      <c r="I9" s="111"/>
      <c r="J9" s="189"/>
      <c r="K9" s="189"/>
      <c r="L9" s="189"/>
      <c r="M9" s="189"/>
      <c r="N9" s="190"/>
      <c r="O9" s="190"/>
    </row>
    <row r="10" spans="1:24" ht="42" customHeight="1" x14ac:dyDescent="0.25">
      <c r="A10" s="90"/>
      <c r="B10" s="91"/>
      <c r="C10" s="91"/>
      <c r="D10" s="91"/>
      <c r="E10" s="92"/>
      <c r="F10" s="91"/>
      <c r="G10" s="91"/>
      <c r="H10" s="93"/>
      <c r="I10" s="91"/>
      <c r="J10" s="174"/>
      <c r="K10" s="174"/>
      <c r="L10" s="174"/>
      <c r="M10" s="174"/>
      <c r="N10" s="188"/>
      <c r="O10" s="188"/>
      <c r="V10" s="77"/>
      <c r="W10" s="77"/>
    </row>
    <row r="11" spans="1:24" s="97" customFormat="1" ht="42" customHeight="1" x14ac:dyDescent="0.25">
      <c r="A11" s="901" t="s">
        <v>203</v>
      </c>
      <c r="B11" s="902"/>
      <c r="C11" s="902"/>
      <c r="D11" s="902"/>
      <c r="E11" s="902"/>
      <c r="F11" s="902"/>
      <c r="G11" s="902"/>
      <c r="H11" s="902"/>
      <c r="I11" s="902"/>
      <c r="J11" s="902"/>
      <c r="K11" s="902"/>
      <c r="L11" s="902"/>
      <c r="M11" s="902"/>
      <c r="N11" s="902"/>
      <c r="O11" s="903"/>
    </row>
    <row r="12" spans="1:24" s="97" customFormat="1" ht="74.25" customHeight="1" x14ac:dyDescent="0.25">
      <c r="A12" s="176" t="s">
        <v>89</v>
      </c>
      <c r="B12" s="176" t="s">
        <v>90</v>
      </c>
      <c r="C12" s="177" t="s">
        <v>0</v>
      </c>
      <c r="D12" s="180" t="s">
        <v>124</v>
      </c>
      <c r="E12" s="176" t="s">
        <v>143</v>
      </c>
      <c r="F12" s="176" t="s">
        <v>144</v>
      </c>
      <c r="G12" s="176" t="s">
        <v>13</v>
      </c>
      <c r="H12" s="176" t="s">
        <v>88</v>
      </c>
      <c r="I12" s="176" t="s">
        <v>12</v>
      </c>
      <c r="J12" s="176" t="s">
        <v>150</v>
      </c>
      <c r="K12" s="176" t="s">
        <v>151</v>
      </c>
      <c r="L12" s="176" t="s">
        <v>157</v>
      </c>
      <c r="M12" s="176" t="s">
        <v>149</v>
      </c>
      <c r="N12" s="176" t="s">
        <v>154</v>
      </c>
      <c r="O12" s="176" t="s">
        <v>205</v>
      </c>
    </row>
    <row r="13" spans="1:24" s="178" customFormat="1" ht="24" customHeight="1" x14ac:dyDescent="0.25">
      <c r="A13" s="184" t="s">
        <v>197</v>
      </c>
      <c r="B13" s="184"/>
      <c r="C13" s="185"/>
      <c r="D13" s="185"/>
      <c r="E13" s="184"/>
      <c r="F13" s="184"/>
      <c r="G13" s="184"/>
      <c r="H13" s="184"/>
      <c r="I13" s="184"/>
      <c r="J13" s="184"/>
      <c r="K13" s="184"/>
      <c r="L13" s="184"/>
      <c r="M13" s="184"/>
      <c r="N13" s="184"/>
      <c r="O13" s="186"/>
    </row>
    <row r="14" spans="1:24" ht="42" customHeight="1" x14ac:dyDescent="0.25">
      <c r="A14" s="90" t="s">
        <v>84</v>
      </c>
      <c r="B14" s="91" t="s">
        <v>7</v>
      </c>
      <c r="C14" s="91" t="s">
        <v>4</v>
      </c>
      <c r="D14" s="91" t="s">
        <v>126</v>
      </c>
      <c r="E14" s="92" t="s">
        <v>30</v>
      </c>
      <c r="F14" s="91" t="s">
        <v>142</v>
      </c>
      <c r="G14" s="91" t="s">
        <v>22</v>
      </c>
      <c r="H14" s="93">
        <v>41090</v>
      </c>
      <c r="I14" s="91" t="s">
        <v>176</v>
      </c>
      <c r="J14" s="188">
        <v>33.979999999999997</v>
      </c>
      <c r="K14" s="188">
        <v>15.53</v>
      </c>
      <c r="L14" s="188">
        <v>18.45</v>
      </c>
      <c r="M14" s="188"/>
      <c r="N14" s="188"/>
      <c r="O14" s="188"/>
      <c r="V14" s="77"/>
      <c r="W14" s="77"/>
    </row>
    <row r="15" spans="1:24" ht="42" customHeight="1" x14ac:dyDescent="0.25">
      <c r="A15" s="82" t="s">
        <v>8</v>
      </c>
      <c r="B15" s="83" t="s">
        <v>7</v>
      </c>
      <c r="C15" s="83" t="s">
        <v>4</v>
      </c>
      <c r="D15" s="83" t="s">
        <v>126</v>
      </c>
      <c r="E15" s="84" t="s">
        <v>30</v>
      </c>
      <c r="F15" s="84" t="s">
        <v>142</v>
      </c>
      <c r="G15" s="83" t="s">
        <v>22</v>
      </c>
      <c r="H15" s="85">
        <v>41455</v>
      </c>
      <c r="I15" s="83" t="s">
        <v>131</v>
      </c>
      <c r="J15" s="187">
        <v>25.89</v>
      </c>
      <c r="K15" s="288" t="s">
        <v>10</v>
      </c>
      <c r="L15" s="187">
        <v>25.89</v>
      </c>
      <c r="M15" s="187"/>
      <c r="N15" s="187"/>
      <c r="O15" s="187"/>
      <c r="V15" s="77"/>
      <c r="W15" s="77"/>
    </row>
    <row r="16" spans="1:24" ht="42" customHeight="1" x14ac:dyDescent="0.25">
      <c r="A16" s="90" t="s">
        <v>8</v>
      </c>
      <c r="B16" s="91" t="s">
        <v>193</v>
      </c>
      <c r="C16" s="91" t="s">
        <v>4</v>
      </c>
      <c r="D16" s="91" t="s">
        <v>126</v>
      </c>
      <c r="E16" s="92" t="s">
        <v>30</v>
      </c>
      <c r="F16" s="91" t="s">
        <v>142</v>
      </c>
      <c r="G16" s="91" t="s">
        <v>22</v>
      </c>
      <c r="H16" s="93">
        <v>41820</v>
      </c>
      <c r="I16" s="91" t="s">
        <v>132</v>
      </c>
      <c r="J16" s="188">
        <v>11.42</v>
      </c>
      <c r="K16" s="289" t="s">
        <v>10</v>
      </c>
      <c r="L16" s="188">
        <v>11.42</v>
      </c>
      <c r="M16" s="188"/>
      <c r="N16" s="188"/>
      <c r="O16" s="188"/>
      <c r="V16" s="77"/>
      <c r="W16" s="77"/>
    </row>
    <row r="17" spans="1:23" ht="42" customHeight="1" x14ac:dyDescent="0.25">
      <c r="A17" s="82" t="s">
        <v>8</v>
      </c>
      <c r="B17" s="83" t="s">
        <v>193</v>
      </c>
      <c r="C17" s="83" t="s">
        <v>4</v>
      </c>
      <c r="D17" s="83" t="s">
        <v>126</v>
      </c>
      <c r="E17" s="84" t="s">
        <v>30</v>
      </c>
      <c r="F17" s="84" t="s">
        <v>142</v>
      </c>
      <c r="G17" s="91" t="s">
        <v>22</v>
      </c>
      <c r="H17" s="85">
        <v>42185</v>
      </c>
      <c r="I17" s="83" t="s">
        <v>133</v>
      </c>
      <c r="J17" s="191">
        <v>1.94</v>
      </c>
      <c r="K17" s="191" t="s">
        <v>10</v>
      </c>
      <c r="L17" s="191">
        <v>1.94</v>
      </c>
      <c r="M17" s="187"/>
      <c r="N17" s="187"/>
      <c r="O17" s="187"/>
      <c r="V17" s="77"/>
      <c r="W17" s="77"/>
    </row>
    <row r="18" spans="1:23" ht="42" customHeight="1" x14ac:dyDescent="0.25">
      <c r="A18" s="181"/>
      <c r="B18" s="181"/>
      <c r="C18" s="181"/>
      <c r="D18" s="181"/>
      <c r="E18" s="182"/>
      <c r="F18" s="181"/>
      <c r="G18" s="181"/>
      <c r="H18" s="183" t="s">
        <v>206</v>
      </c>
      <c r="I18" s="181"/>
      <c r="J18" s="192">
        <f>SUM(J14:J17)</f>
        <v>73.22999999999999</v>
      </c>
      <c r="K18" s="192">
        <f>SUM(K14:K17)</f>
        <v>15.53</v>
      </c>
      <c r="L18" s="192">
        <f>SUM(L14:L17)</f>
        <v>57.7</v>
      </c>
      <c r="M18" s="192">
        <f>+L18-N18</f>
        <v>36.524742000000003</v>
      </c>
      <c r="N18" s="192">
        <f>21175258
/1000000</f>
        <v>21.175257999999999</v>
      </c>
      <c r="O18" s="192">
        <v>35</v>
      </c>
      <c r="V18" s="77"/>
      <c r="W18" s="77"/>
    </row>
    <row r="19" spans="1:23" s="178" customFormat="1" ht="24" customHeight="1" x14ac:dyDescent="0.25">
      <c r="A19" s="184" t="s">
        <v>198</v>
      </c>
      <c r="B19" s="184"/>
      <c r="C19" s="185"/>
      <c r="D19" s="185"/>
      <c r="E19" s="184"/>
      <c r="F19" s="184"/>
      <c r="G19" s="184"/>
      <c r="H19" s="184"/>
      <c r="I19" s="184"/>
      <c r="J19" s="184"/>
      <c r="K19" s="184"/>
      <c r="L19" s="184"/>
      <c r="M19" s="184"/>
      <c r="N19" s="184"/>
      <c r="O19" s="186"/>
    </row>
    <row r="20" spans="1:23" s="97" customFormat="1" ht="58.5" customHeight="1" x14ac:dyDescent="0.25">
      <c r="A20" s="82" t="s">
        <v>8</v>
      </c>
      <c r="B20" s="83" t="s">
        <v>7</v>
      </c>
      <c r="C20" s="83" t="s">
        <v>27</v>
      </c>
      <c r="D20" s="83" t="s">
        <v>127</v>
      </c>
      <c r="E20" s="84" t="s">
        <v>33</v>
      </c>
      <c r="F20" s="84" t="s">
        <v>45</v>
      </c>
      <c r="G20" s="83" t="s">
        <v>22</v>
      </c>
      <c r="H20" s="85">
        <v>41090</v>
      </c>
      <c r="I20" s="83" t="s">
        <v>135</v>
      </c>
      <c r="J20" s="187">
        <v>6.57</v>
      </c>
      <c r="K20" s="187">
        <v>4.0199999999999996</v>
      </c>
      <c r="L20" s="187">
        <v>2.5499999999999998</v>
      </c>
      <c r="M20" s="187"/>
      <c r="N20" s="187"/>
      <c r="O20" s="187"/>
    </row>
    <row r="21" spans="1:23" ht="42" customHeight="1" x14ac:dyDescent="0.25">
      <c r="A21" s="90" t="s">
        <v>8</v>
      </c>
      <c r="B21" s="91" t="s">
        <v>7</v>
      </c>
      <c r="C21" s="91" t="s">
        <v>92</v>
      </c>
      <c r="D21" s="91" t="s">
        <v>128</v>
      </c>
      <c r="E21" s="92" t="s">
        <v>33</v>
      </c>
      <c r="F21" s="91" t="s">
        <v>44</v>
      </c>
      <c r="G21" s="91" t="s">
        <v>22</v>
      </c>
      <c r="H21" s="93">
        <v>41090</v>
      </c>
      <c r="I21" s="91" t="s">
        <v>136</v>
      </c>
      <c r="J21" s="188">
        <v>0.25</v>
      </c>
      <c r="K21" s="188">
        <v>0.24</v>
      </c>
      <c r="L21" s="188">
        <v>0.01</v>
      </c>
      <c r="M21" s="188"/>
      <c r="N21" s="188"/>
      <c r="O21" s="188"/>
      <c r="V21" s="77"/>
      <c r="W21" s="77"/>
    </row>
    <row r="22" spans="1:23" s="97" customFormat="1" ht="51" customHeight="1" x14ac:dyDescent="0.25">
      <c r="A22" s="82" t="s">
        <v>8</v>
      </c>
      <c r="B22" s="83" t="s">
        <v>7</v>
      </c>
      <c r="C22" s="83" t="s">
        <v>27</v>
      </c>
      <c r="D22" s="83" t="s">
        <v>127</v>
      </c>
      <c r="E22" s="84" t="s">
        <v>33</v>
      </c>
      <c r="F22" s="84" t="s">
        <v>45</v>
      </c>
      <c r="G22" s="83" t="s">
        <v>22</v>
      </c>
      <c r="H22" s="85">
        <v>41455</v>
      </c>
      <c r="I22" s="83" t="s">
        <v>137</v>
      </c>
      <c r="J22" s="187">
        <v>5.25</v>
      </c>
      <c r="K22" s="288" t="s">
        <v>10</v>
      </c>
      <c r="L22" s="187">
        <v>5.25</v>
      </c>
      <c r="M22" s="187"/>
      <c r="N22" s="187"/>
      <c r="O22" s="187"/>
    </row>
    <row r="23" spans="1:23" ht="42" customHeight="1" x14ac:dyDescent="0.25">
      <c r="A23" s="90" t="s">
        <v>84</v>
      </c>
      <c r="B23" s="91" t="s">
        <v>7</v>
      </c>
      <c r="C23" s="91" t="s">
        <v>92</v>
      </c>
      <c r="D23" s="91" t="s">
        <v>128</v>
      </c>
      <c r="E23" s="92" t="s">
        <v>33</v>
      </c>
      <c r="F23" s="91" t="s">
        <v>44</v>
      </c>
      <c r="G23" s="91" t="s">
        <v>22</v>
      </c>
      <c r="H23" s="93">
        <v>41455</v>
      </c>
      <c r="I23" s="91" t="s">
        <v>137</v>
      </c>
      <c r="J23" s="188">
        <v>0.03</v>
      </c>
      <c r="K23" s="289" t="s">
        <v>10</v>
      </c>
      <c r="L23" s="188">
        <v>0.03</v>
      </c>
      <c r="M23" s="188"/>
      <c r="N23" s="188"/>
      <c r="O23" s="188"/>
      <c r="V23" s="77"/>
      <c r="W23" s="77"/>
    </row>
    <row r="24" spans="1:23" s="97" customFormat="1" ht="55.5" customHeight="1" x14ac:dyDescent="0.25">
      <c r="A24" s="82" t="s">
        <v>84</v>
      </c>
      <c r="B24" s="83" t="s">
        <v>7</v>
      </c>
      <c r="C24" s="83" t="s">
        <v>27</v>
      </c>
      <c r="D24" s="83" t="s">
        <v>127</v>
      </c>
      <c r="E24" s="84" t="s">
        <v>33</v>
      </c>
      <c r="F24" s="84" t="s">
        <v>45</v>
      </c>
      <c r="G24" s="83" t="s">
        <v>22</v>
      </c>
      <c r="H24" s="85">
        <v>41820</v>
      </c>
      <c r="I24" s="83" t="s">
        <v>138</v>
      </c>
      <c r="J24" s="187">
        <v>0.92</v>
      </c>
      <c r="K24" s="288" t="s">
        <v>10</v>
      </c>
      <c r="L24" s="187">
        <v>0.92</v>
      </c>
      <c r="M24" s="187"/>
      <c r="N24" s="187"/>
      <c r="O24" s="187"/>
    </row>
    <row r="25" spans="1:23" ht="42" customHeight="1" x14ac:dyDescent="0.25">
      <c r="A25" s="90" t="s">
        <v>8</v>
      </c>
      <c r="B25" s="91" t="s">
        <v>7</v>
      </c>
      <c r="C25" s="91" t="s">
        <v>92</v>
      </c>
      <c r="D25" s="91" t="s">
        <v>128</v>
      </c>
      <c r="E25" s="92" t="s">
        <v>33</v>
      </c>
      <c r="F25" s="91" t="s">
        <v>44</v>
      </c>
      <c r="G25" s="91" t="s">
        <v>22</v>
      </c>
      <c r="H25" s="93">
        <v>41820</v>
      </c>
      <c r="I25" s="91" t="s">
        <v>138</v>
      </c>
      <c r="J25" s="188">
        <v>0.21</v>
      </c>
      <c r="K25" s="289" t="s">
        <v>10</v>
      </c>
      <c r="L25" s="188">
        <v>0.21</v>
      </c>
      <c r="M25" s="188"/>
      <c r="N25" s="188"/>
      <c r="O25" s="188"/>
      <c r="V25" s="77"/>
      <c r="W25" s="77"/>
    </row>
    <row r="26" spans="1:23" s="97" customFormat="1" ht="42" customHeight="1" x14ac:dyDescent="0.25">
      <c r="A26" s="82" t="s">
        <v>8</v>
      </c>
      <c r="B26" s="83" t="s">
        <v>7</v>
      </c>
      <c r="C26" s="83"/>
      <c r="D26" s="83"/>
      <c r="E26" s="84"/>
      <c r="F26" s="84"/>
      <c r="G26" s="83"/>
      <c r="H26" s="85"/>
      <c r="I26" s="83" t="s">
        <v>139</v>
      </c>
      <c r="J26" s="288" t="s">
        <v>10</v>
      </c>
      <c r="K26" s="288" t="s">
        <v>10</v>
      </c>
      <c r="L26" s="288" t="s">
        <v>10</v>
      </c>
      <c r="M26" s="187"/>
      <c r="N26" s="187"/>
      <c r="O26" s="187"/>
    </row>
    <row r="27" spans="1:23" ht="42" customHeight="1" x14ac:dyDescent="0.25">
      <c r="A27" s="90" t="s">
        <v>8</v>
      </c>
      <c r="B27" s="91" t="s">
        <v>7</v>
      </c>
      <c r="C27" s="91"/>
      <c r="D27" s="91"/>
      <c r="E27" s="92"/>
      <c r="F27" s="91"/>
      <c r="G27" s="91"/>
      <c r="H27" s="93"/>
      <c r="I27" s="91" t="s">
        <v>139</v>
      </c>
      <c r="J27" s="291" t="s">
        <v>10</v>
      </c>
      <c r="K27" s="291" t="s">
        <v>10</v>
      </c>
      <c r="L27" s="291" t="s">
        <v>10</v>
      </c>
      <c r="M27" s="193"/>
      <c r="N27" s="193"/>
      <c r="O27" s="193"/>
      <c r="V27" s="77"/>
      <c r="W27" s="77"/>
    </row>
    <row r="28" spans="1:23" s="97" customFormat="1" ht="42" customHeight="1" x14ac:dyDescent="0.25">
      <c r="A28" s="181"/>
      <c r="B28" s="181"/>
      <c r="C28" s="181"/>
      <c r="D28" s="181"/>
      <c r="E28" s="182"/>
      <c r="F28" s="181"/>
      <c r="G28" s="181"/>
      <c r="H28" s="183" t="s">
        <v>206</v>
      </c>
      <c r="I28" s="181"/>
      <c r="J28" s="192">
        <f>SUM(J20:J27)</f>
        <v>13.23</v>
      </c>
      <c r="K28" s="192">
        <f>SUM(K20:K27)</f>
        <v>4.26</v>
      </c>
      <c r="L28" s="192">
        <f>SUM(L20:L27)</f>
        <v>8.9700000000000006</v>
      </c>
      <c r="M28" s="192">
        <f>L28-N28</f>
        <v>8.2100000000000009</v>
      </c>
      <c r="N28" s="192">
        <v>0.76</v>
      </c>
      <c r="O28" s="192"/>
    </row>
    <row r="29" spans="1:23" ht="48" customHeight="1" x14ac:dyDescent="0.25">
      <c r="A29" s="901" t="s">
        <v>202</v>
      </c>
      <c r="B29" s="902"/>
      <c r="C29" s="902"/>
      <c r="D29" s="902"/>
      <c r="E29" s="902"/>
      <c r="F29" s="902"/>
      <c r="G29" s="902"/>
      <c r="H29" s="902"/>
      <c r="I29" s="902"/>
      <c r="J29" s="902"/>
      <c r="K29" s="902"/>
      <c r="L29" s="902"/>
      <c r="M29" s="902"/>
      <c r="N29" s="902"/>
      <c r="O29" s="903"/>
      <c r="V29" s="77"/>
      <c r="W29" s="77"/>
    </row>
    <row r="30" spans="1:23" s="97" customFormat="1" ht="66" customHeight="1" x14ac:dyDescent="0.25">
      <c r="A30" s="176" t="s">
        <v>89</v>
      </c>
      <c r="B30" s="176" t="s">
        <v>90</v>
      </c>
      <c r="C30" s="177" t="s">
        <v>0</v>
      </c>
      <c r="D30" s="177" t="s">
        <v>124</v>
      </c>
      <c r="E30" s="176" t="s">
        <v>143</v>
      </c>
      <c r="F30" s="176" t="s">
        <v>144</v>
      </c>
      <c r="G30" s="176" t="s">
        <v>13</v>
      </c>
      <c r="H30" s="176" t="s">
        <v>88</v>
      </c>
      <c r="I30" s="176" t="s">
        <v>12</v>
      </c>
      <c r="J30" s="176" t="s">
        <v>200</v>
      </c>
      <c r="K30" s="176" t="s">
        <v>199</v>
      </c>
      <c r="L30" s="176" t="s">
        <v>201</v>
      </c>
      <c r="M30" s="176" t="s">
        <v>149</v>
      </c>
      <c r="N30" s="176" t="s">
        <v>154</v>
      </c>
      <c r="O30" s="176" t="s">
        <v>205</v>
      </c>
    </row>
    <row r="31" spans="1:23" s="97" customFormat="1" ht="42" customHeight="1" x14ac:dyDescent="0.25">
      <c r="A31" s="90" t="s">
        <v>84</v>
      </c>
      <c r="B31" s="91" t="s">
        <v>9</v>
      </c>
      <c r="C31" s="91" t="s">
        <v>183</v>
      </c>
      <c r="D31" s="91" t="s">
        <v>142</v>
      </c>
      <c r="E31" s="92" t="s">
        <v>142</v>
      </c>
      <c r="F31" s="91" t="s">
        <v>142</v>
      </c>
      <c r="G31" s="91" t="s">
        <v>22</v>
      </c>
      <c r="H31" s="93">
        <v>41449</v>
      </c>
      <c r="I31" s="91" t="s">
        <v>172</v>
      </c>
      <c r="J31" s="179">
        <v>7.0349999999999996E-2</v>
      </c>
      <c r="K31" s="292" t="s">
        <v>10</v>
      </c>
      <c r="L31" s="179">
        <v>7.0349999999999996E-2</v>
      </c>
      <c r="M31" s="179">
        <f>1.294*50000/1000000</f>
        <v>6.4699999999999994E-2</v>
      </c>
      <c r="N31" s="179">
        <f>+L31-M31</f>
        <v>5.6500000000000022E-3</v>
      </c>
      <c r="O31" s="179"/>
      <c r="V31" s="100"/>
      <c r="W31" s="100"/>
    </row>
    <row r="32" spans="1:23" ht="42" customHeight="1" x14ac:dyDescent="0.25">
      <c r="A32" s="98"/>
      <c r="J32" s="144"/>
      <c r="K32" s="144"/>
      <c r="L32" s="144"/>
      <c r="M32" s="144"/>
      <c r="N32" s="144"/>
      <c r="O32" s="144"/>
      <c r="R32" s="76"/>
      <c r="S32" s="76"/>
      <c r="T32" s="76"/>
      <c r="U32" s="76"/>
      <c r="V32" s="123"/>
      <c r="W32" s="123"/>
    </row>
    <row r="33" spans="1:23" ht="42" customHeight="1" x14ac:dyDescent="0.25">
      <c r="R33" s="76"/>
      <c r="S33" s="76"/>
      <c r="T33" s="76"/>
      <c r="U33" s="76"/>
      <c r="V33" s="123"/>
      <c r="W33" s="123"/>
    </row>
    <row r="41" spans="1:23" s="198" customFormat="1" ht="42" customHeight="1" thickBot="1" x14ac:dyDescent="0.3">
      <c r="A41" s="904" t="s">
        <v>207</v>
      </c>
      <c r="B41" s="904"/>
      <c r="C41" s="904"/>
      <c r="D41" s="904"/>
      <c r="E41" s="904"/>
      <c r="F41" s="904"/>
      <c r="G41" s="904"/>
      <c r="H41" s="904"/>
      <c r="I41" s="904"/>
      <c r="J41" s="904"/>
      <c r="K41" s="904"/>
      <c r="L41" s="904"/>
      <c r="M41" s="904"/>
      <c r="N41" s="904"/>
      <c r="O41" s="904"/>
      <c r="V41" s="199"/>
      <c r="W41" s="199"/>
    </row>
    <row r="42" spans="1:23" ht="42" customHeight="1" x14ac:dyDescent="0.3">
      <c r="A42" s="905" t="s">
        <v>140</v>
      </c>
      <c r="B42" s="905"/>
      <c r="C42" s="905"/>
      <c r="D42" s="905"/>
      <c r="E42" s="905"/>
      <c r="F42" s="905"/>
    </row>
    <row r="43" spans="1:23" ht="42" customHeight="1" x14ac:dyDescent="0.3">
      <c r="A43" s="202" t="s">
        <v>0</v>
      </c>
      <c r="B43" s="203" t="s">
        <v>108</v>
      </c>
      <c r="C43" s="203" t="s">
        <v>109</v>
      </c>
      <c r="D43" s="202" t="s">
        <v>173</v>
      </c>
      <c r="E43" s="202" t="s">
        <v>106</v>
      </c>
      <c r="F43" s="202" t="s">
        <v>110</v>
      </c>
      <c r="H43" s="203" t="s">
        <v>208</v>
      </c>
    </row>
    <row r="44" spans="1:23" ht="9" customHeight="1" x14ac:dyDescent="0.25">
      <c r="A44" s="168"/>
      <c r="B44" s="168"/>
      <c r="C44" s="168"/>
      <c r="D44" s="168"/>
      <c r="E44" s="168"/>
      <c r="F44" s="168"/>
    </row>
    <row r="45" spans="1:23" ht="42" customHeight="1" x14ac:dyDescent="0.25">
      <c r="A45" s="211" t="s">
        <v>27</v>
      </c>
      <c r="B45" s="204">
        <v>0</v>
      </c>
      <c r="C45" s="204">
        <v>11.844329760000001</v>
      </c>
      <c r="D45" s="204">
        <v>0</v>
      </c>
      <c r="E45" s="204">
        <f>SUM(B45:D45)</f>
        <v>11.844329760000001</v>
      </c>
      <c r="F45" s="205">
        <f>+E45/$E$52</f>
        <v>3.9125896820043859E-2</v>
      </c>
      <c r="H45" s="144">
        <f>+N28</f>
        <v>0.76</v>
      </c>
    </row>
    <row r="46" spans="1:23" ht="42" customHeight="1" x14ac:dyDescent="0.25">
      <c r="A46" s="211" t="s">
        <v>92</v>
      </c>
      <c r="B46" s="204">
        <v>0</v>
      </c>
      <c r="C46" s="204">
        <v>0.41141679999999997</v>
      </c>
      <c r="D46" s="204">
        <v>0</v>
      </c>
      <c r="E46" s="204">
        <f t="shared" ref="E46:E51" si="0">SUM(B46:D46)</f>
        <v>0.41141679999999997</v>
      </c>
      <c r="F46" s="205">
        <f t="shared" ref="F46:F51" si="1">+E46/$E$52</f>
        <v>1.3590512585350898E-3</v>
      </c>
    </row>
    <row r="47" spans="1:23" ht="42" customHeight="1" x14ac:dyDescent="0.25">
      <c r="A47" s="168" t="s">
        <v>2</v>
      </c>
      <c r="B47" s="204">
        <v>26.7425</v>
      </c>
      <c r="C47" s="204">
        <v>0</v>
      </c>
      <c r="D47" s="204">
        <v>0</v>
      </c>
      <c r="E47" s="204">
        <f t="shared" si="0"/>
        <v>26.7425</v>
      </c>
      <c r="F47" s="205">
        <f t="shared" si="1"/>
        <v>8.8339679569173254E-2</v>
      </c>
      <c r="H47" s="144">
        <f>+N7</f>
        <v>4.87</v>
      </c>
    </row>
    <row r="48" spans="1:23" ht="42" customHeight="1" x14ac:dyDescent="0.25">
      <c r="A48" s="211" t="s">
        <v>11</v>
      </c>
      <c r="B48" s="204">
        <v>40.875</v>
      </c>
      <c r="C48" s="204">
        <v>0</v>
      </c>
      <c r="D48" s="204">
        <v>0</v>
      </c>
      <c r="E48" s="204">
        <f t="shared" si="0"/>
        <v>40.875</v>
      </c>
      <c r="F48" s="205">
        <f t="shared" si="1"/>
        <v>0.13502419004917104</v>
      </c>
      <c r="H48" s="144">
        <f>+N8</f>
        <v>6.97</v>
      </c>
    </row>
    <row r="49" spans="1:8" ht="42" customHeight="1" x14ac:dyDescent="0.25">
      <c r="A49" s="168" t="s">
        <v>1</v>
      </c>
      <c r="B49" s="204">
        <v>159.3775</v>
      </c>
      <c r="C49" s="204">
        <v>0</v>
      </c>
      <c r="D49" s="204">
        <v>0</v>
      </c>
      <c r="E49" s="204">
        <f t="shared" si="0"/>
        <v>159.3775</v>
      </c>
      <c r="F49" s="205">
        <f t="shared" si="1"/>
        <v>0.52647872414829988</v>
      </c>
      <c r="H49" s="144">
        <f>+N5+N6</f>
        <v>24.060000000000002</v>
      </c>
    </row>
    <row r="50" spans="1:8" ht="42" customHeight="1" x14ac:dyDescent="0.25">
      <c r="A50" s="168" t="s">
        <v>4</v>
      </c>
      <c r="B50" s="204">
        <v>0</v>
      </c>
      <c r="C50" s="204">
        <v>63.402437535000054</v>
      </c>
      <c r="D50" s="204">
        <v>0</v>
      </c>
      <c r="E50" s="204">
        <f t="shared" si="0"/>
        <v>63.402437535000054</v>
      </c>
      <c r="F50" s="205">
        <f t="shared" si="1"/>
        <v>0.20944006789740779</v>
      </c>
      <c r="H50" s="144">
        <f>+N18</f>
        <v>21.175257999999999</v>
      </c>
    </row>
    <row r="51" spans="1:8" ht="42" customHeight="1" x14ac:dyDescent="0.4">
      <c r="A51" s="168" t="s">
        <v>183</v>
      </c>
      <c r="B51" s="206">
        <v>0</v>
      </c>
      <c r="C51" s="206">
        <v>0</v>
      </c>
      <c r="D51" s="206">
        <v>7.0349999999999996E-2</v>
      </c>
      <c r="E51" s="206">
        <f t="shared" si="0"/>
        <v>7.0349999999999996E-2</v>
      </c>
      <c r="F51" s="207">
        <f t="shared" si="1"/>
        <v>2.32390257369032E-4</v>
      </c>
      <c r="H51" s="212">
        <f>+N31</f>
        <v>5.6500000000000022E-3</v>
      </c>
    </row>
    <row r="52" spans="1:8" ht="42" customHeight="1" x14ac:dyDescent="0.4">
      <c r="A52" s="168" t="s">
        <v>106</v>
      </c>
      <c r="B52" s="209">
        <v>226.995</v>
      </c>
      <c r="C52" s="209">
        <f>SUM(C45:C51)</f>
        <v>75.658184095000053</v>
      </c>
      <c r="D52" s="209">
        <f t="shared" ref="D52:H52" si="2">SUM(D45:D51)</f>
        <v>7.0349999999999996E-2</v>
      </c>
      <c r="E52" s="209">
        <f t="shared" si="2"/>
        <v>302.72353409500005</v>
      </c>
      <c r="F52" s="210">
        <f t="shared" si="2"/>
        <v>0.99999999999999989</v>
      </c>
      <c r="H52" s="208">
        <f t="shared" si="2"/>
        <v>57.840908000000006</v>
      </c>
    </row>
    <row r="53" spans="1:8" ht="42" customHeight="1" x14ac:dyDescent="0.25">
      <c r="A53" s="168"/>
      <c r="B53" s="168"/>
      <c r="C53" s="168"/>
      <c r="D53" s="168"/>
      <c r="E53" s="168"/>
      <c r="F53" s="168"/>
    </row>
    <row r="100" spans="1:6" ht="42" customHeight="1" thickBot="1" x14ac:dyDescent="0.3"/>
    <row r="101" spans="1:6" ht="42" customHeight="1" x14ac:dyDescent="0.25">
      <c r="A101" s="894" t="s">
        <v>195</v>
      </c>
      <c r="B101" s="895"/>
      <c r="C101" s="895"/>
      <c r="D101" s="895"/>
      <c r="E101" s="895"/>
      <c r="F101" s="896"/>
    </row>
    <row r="102" spans="1:6" ht="42" customHeight="1" thickBot="1" x14ac:dyDescent="0.3">
      <c r="A102" s="897"/>
      <c r="B102" s="898"/>
      <c r="C102" s="898"/>
      <c r="D102" s="898"/>
      <c r="E102" s="898"/>
      <c r="F102" s="899"/>
    </row>
    <row r="103" spans="1:6" ht="42" customHeight="1" x14ac:dyDescent="0.25">
      <c r="A103" s="162" t="s">
        <v>5</v>
      </c>
      <c r="B103" s="161" t="s">
        <v>6</v>
      </c>
      <c r="C103" s="161" t="s">
        <v>13</v>
      </c>
      <c r="D103" s="161" t="s">
        <v>82</v>
      </c>
      <c r="E103" s="161" t="s">
        <v>115</v>
      </c>
      <c r="F103" s="163" t="s">
        <v>116</v>
      </c>
    </row>
    <row r="104" spans="1:6" ht="55.5" customHeight="1" x14ac:dyDescent="0.25">
      <c r="A104" s="104" t="s">
        <v>91</v>
      </c>
      <c r="B104" s="106" t="s">
        <v>190</v>
      </c>
      <c r="C104" s="106" t="s">
        <v>18</v>
      </c>
      <c r="D104" s="105" t="s">
        <v>8</v>
      </c>
      <c r="E104" s="106" t="s">
        <v>36</v>
      </c>
      <c r="F104" s="107" t="s">
        <v>29</v>
      </c>
    </row>
    <row r="105" spans="1:6" ht="60" customHeight="1" x14ac:dyDescent="0.25">
      <c r="A105" s="104" t="s">
        <v>27</v>
      </c>
      <c r="B105" s="106" t="s">
        <v>192</v>
      </c>
      <c r="C105" s="106" t="s">
        <v>15</v>
      </c>
      <c r="D105" s="105" t="s">
        <v>84</v>
      </c>
      <c r="E105" s="106" t="s">
        <v>35</v>
      </c>
      <c r="F105" s="107" t="s">
        <v>28</v>
      </c>
    </row>
    <row r="106" spans="1:6" ht="56.25" customHeight="1" x14ac:dyDescent="0.25">
      <c r="A106" s="117" t="s">
        <v>125</v>
      </c>
      <c r="B106" s="106" t="s">
        <v>191</v>
      </c>
      <c r="C106" s="106" t="s">
        <v>16</v>
      </c>
      <c r="D106" s="105"/>
      <c r="E106" s="106" t="s">
        <v>46</v>
      </c>
      <c r="F106" s="107" t="s">
        <v>34</v>
      </c>
    </row>
    <row r="107" spans="1:6" ht="42" customHeight="1" x14ac:dyDescent="0.25">
      <c r="A107" s="117" t="s">
        <v>128</v>
      </c>
      <c r="B107" s="106" t="s">
        <v>193</v>
      </c>
      <c r="C107" s="106" t="s">
        <v>20</v>
      </c>
      <c r="D107" s="105"/>
      <c r="E107" s="106" t="s">
        <v>142</v>
      </c>
      <c r="F107" s="107" t="s">
        <v>142</v>
      </c>
    </row>
    <row r="108" spans="1:6" ht="42" customHeight="1" x14ac:dyDescent="0.25">
      <c r="A108" s="104" t="s">
        <v>92</v>
      </c>
      <c r="B108" s="106"/>
      <c r="C108" s="106" t="s">
        <v>19</v>
      </c>
      <c r="D108" s="105"/>
      <c r="E108" s="106" t="s">
        <v>37</v>
      </c>
      <c r="F108" s="107" t="s">
        <v>30</v>
      </c>
    </row>
    <row r="109" spans="1:6" ht="42" customHeight="1" x14ac:dyDescent="0.25">
      <c r="A109" s="117" t="s">
        <v>194</v>
      </c>
      <c r="B109" s="105"/>
      <c r="C109" s="106" t="s">
        <v>21</v>
      </c>
      <c r="D109" s="105"/>
      <c r="E109" s="106" t="s">
        <v>117</v>
      </c>
      <c r="F109" s="107" t="s">
        <v>121</v>
      </c>
    </row>
    <row r="110" spans="1:6" ht="42" customHeight="1" x14ac:dyDescent="0.25">
      <c r="A110" s="104" t="s">
        <v>11</v>
      </c>
      <c r="B110" s="105"/>
      <c r="C110" s="106" t="s">
        <v>14</v>
      </c>
      <c r="D110" s="105"/>
      <c r="E110" s="106" t="s">
        <v>42</v>
      </c>
      <c r="F110" s="107" t="s">
        <v>40</v>
      </c>
    </row>
    <row r="111" spans="1:6" ht="42" customHeight="1" x14ac:dyDescent="0.25">
      <c r="A111" s="104" t="s">
        <v>1</v>
      </c>
      <c r="B111" s="105"/>
      <c r="C111" s="106" t="s">
        <v>17</v>
      </c>
      <c r="D111" s="105"/>
      <c r="E111" s="106" t="s">
        <v>38</v>
      </c>
      <c r="F111" s="107" t="s">
        <v>31</v>
      </c>
    </row>
    <row r="112" spans="1:6" ht="42" customHeight="1" x14ac:dyDescent="0.25">
      <c r="A112" s="104" t="s">
        <v>4</v>
      </c>
      <c r="B112" s="105"/>
      <c r="C112" s="106"/>
      <c r="D112" s="105"/>
      <c r="E112" s="106" t="s">
        <v>41</v>
      </c>
      <c r="F112" s="107" t="s">
        <v>39</v>
      </c>
    </row>
    <row r="113" spans="1:6" ht="42" customHeight="1" x14ac:dyDescent="0.25">
      <c r="A113" s="117" t="s">
        <v>126</v>
      </c>
      <c r="B113" s="105"/>
      <c r="C113" s="106"/>
      <c r="D113" s="105"/>
      <c r="E113" s="106" t="s">
        <v>43</v>
      </c>
      <c r="F113" s="107" t="s">
        <v>120</v>
      </c>
    </row>
    <row r="114" spans="1:6" ht="42" customHeight="1" x14ac:dyDescent="0.25">
      <c r="A114" s="117" t="s">
        <v>183</v>
      </c>
      <c r="B114" s="105"/>
      <c r="C114" s="106"/>
      <c r="D114" s="105"/>
      <c r="E114" s="106" t="s">
        <v>118</v>
      </c>
      <c r="F114" s="107" t="s">
        <v>122</v>
      </c>
    </row>
    <row r="115" spans="1:6" ht="42" customHeight="1" x14ac:dyDescent="0.25">
      <c r="A115" s="117" t="s">
        <v>142</v>
      </c>
      <c r="B115" s="105"/>
      <c r="C115" s="105"/>
      <c r="D115" s="105"/>
      <c r="E115" s="106" t="s">
        <v>37</v>
      </c>
      <c r="F115" s="107" t="s">
        <v>31</v>
      </c>
    </row>
    <row r="116" spans="1:6" ht="42" customHeight="1" x14ac:dyDescent="0.25">
      <c r="A116" s="117"/>
      <c r="B116" s="105"/>
      <c r="C116" s="105"/>
      <c r="D116" s="105"/>
      <c r="E116" s="106" t="s">
        <v>45</v>
      </c>
      <c r="F116" s="107" t="s">
        <v>33</v>
      </c>
    </row>
    <row r="117" spans="1:6" ht="42" customHeight="1" x14ac:dyDescent="0.25">
      <c r="A117" s="117"/>
      <c r="B117" s="105"/>
      <c r="C117" s="105"/>
      <c r="D117" s="105"/>
      <c r="E117" s="106" t="s">
        <v>44</v>
      </c>
      <c r="F117" s="107" t="s">
        <v>32</v>
      </c>
    </row>
    <row r="118" spans="1:6" ht="42" customHeight="1" thickBot="1" x14ac:dyDescent="0.3">
      <c r="A118" s="118"/>
      <c r="B118" s="119"/>
      <c r="C118" s="119"/>
      <c r="D118" s="119"/>
      <c r="E118" s="120" t="s">
        <v>142</v>
      </c>
      <c r="F118" s="121" t="s">
        <v>142</v>
      </c>
    </row>
  </sheetData>
  <dataConsolidate/>
  <mergeCells count="7">
    <mergeCell ref="A101:F102"/>
    <mergeCell ref="A1:O1"/>
    <mergeCell ref="A3:O3"/>
    <mergeCell ref="A11:O11"/>
    <mergeCell ref="A29:O29"/>
    <mergeCell ref="A41:O41"/>
    <mergeCell ref="A42:F42"/>
  </mergeCells>
  <dataValidations count="7">
    <dataValidation type="list" allowBlank="1" showInputMessage="1" showErrorMessage="1" sqref="G5:G10 G20:G27 G31 G14:G17" xr:uid="{00000000-0002-0000-2600-000000000000}">
      <formula1>$C$104:$C$112</formula1>
    </dataValidation>
    <dataValidation type="list" allowBlank="1" showInputMessage="1" showErrorMessage="1" sqref="A5:A10 A31:A32 A14:A17 A20:A27" xr:uid="{00000000-0002-0000-2600-000001000000}">
      <formula1>$D$104:$D$106</formula1>
    </dataValidation>
    <dataValidation type="list" allowBlank="1" showInputMessage="1" showErrorMessage="1" sqref="B5:B10 B31 B14:B17 B20:B27" xr:uid="{00000000-0002-0000-2600-000002000000}">
      <formula1>$B$104:$B$108</formula1>
    </dataValidation>
    <dataValidation type="list" allowBlank="1" showInputMessage="1" showErrorMessage="1" sqref="E5:E10 E14:E17 E31 E20:E27" xr:uid="{00000000-0002-0000-2600-000003000000}">
      <formula1>$F$104:$F$118</formula1>
    </dataValidation>
    <dataValidation type="list" allowBlank="1" showInputMessage="1" showErrorMessage="1" sqref="F5:F10 F14:F17 F31 F20:F27" xr:uid="{00000000-0002-0000-2600-000004000000}">
      <formula1>$E$104:$E$118</formula1>
    </dataValidation>
    <dataValidation type="list" allowBlank="1" showInputMessage="1" showErrorMessage="1" sqref="C20:D27 C14:D17 C31:D31 C5:D10" xr:uid="{00000000-0002-0000-2600-000005000000}">
      <formula1>$A$104:$A$116</formula1>
    </dataValidation>
    <dataValidation type="list" allowBlank="1" showInputMessage="1" showErrorMessage="1" sqref="C32:D40" xr:uid="{00000000-0002-0000-2600-000006000000}">
      <formula1>#REF!</formula1>
    </dataValidation>
  </dataValidations>
  <printOptions horizontalCentered="1"/>
  <pageMargins left="0.25" right="0.25" top="0.75" bottom="0.75" header="0.3" footer="0.3"/>
  <pageSetup scale="10" orientation="landscape" r:id="rId1"/>
  <headerFooter>
    <oddHeader>&amp;C&amp;"Arial,Bold"&amp;18University of Illinois - Derivative Position Report as of June 30, 2011&amp;R&amp;D
&amp;T</oddHead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20"/>
  <sheetViews>
    <sheetView workbookViewId="0">
      <selection activeCell="I10" sqref="I10"/>
    </sheetView>
  </sheetViews>
  <sheetFormatPr defaultColWidth="9.109375" defaultRowHeight="15" x14ac:dyDescent="0.25"/>
  <cols>
    <col min="1" max="1" width="5.33203125" style="677" customWidth="1"/>
    <col min="2" max="2" width="80.44140625" style="168" customWidth="1"/>
    <col min="3" max="16384" width="9.109375" style="168"/>
  </cols>
  <sheetData>
    <row r="1" spans="1:2" ht="24" customHeight="1" x14ac:dyDescent="0.3">
      <c r="A1" s="868" t="s">
        <v>481</v>
      </c>
      <c r="B1" s="868"/>
    </row>
    <row r="2" spans="1:2" ht="24" customHeight="1" x14ac:dyDescent="0.25"/>
    <row r="3" spans="1:2" ht="24" customHeight="1" x14ac:dyDescent="0.25">
      <c r="A3" s="869" t="s">
        <v>482</v>
      </c>
      <c r="B3" s="869"/>
    </row>
    <row r="4" spans="1:2" ht="24" customHeight="1" x14ac:dyDescent="0.25">
      <c r="A4" s="869"/>
      <c r="B4" s="869"/>
    </row>
    <row r="5" spans="1:2" ht="24" customHeight="1" x14ac:dyDescent="0.25"/>
    <row r="6" spans="1:2" ht="30" x14ac:dyDescent="0.25">
      <c r="A6" s="677">
        <v>1</v>
      </c>
      <c r="B6" s="676" t="s">
        <v>474</v>
      </c>
    </row>
    <row r="7" spans="1:2" ht="15" customHeight="1" x14ac:dyDescent="0.25">
      <c r="B7" s="676"/>
    </row>
    <row r="8" spans="1:2" ht="30" x14ac:dyDescent="0.25">
      <c r="A8" s="677">
        <v>2</v>
      </c>
      <c r="B8" s="676" t="s">
        <v>475</v>
      </c>
    </row>
    <row r="9" spans="1:2" ht="15" customHeight="1" x14ac:dyDescent="0.25">
      <c r="B9" s="676"/>
    </row>
    <row r="10" spans="1:2" ht="24" customHeight="1" x14ac:dyDescent="0.25">
      <c r="A10" s="677">
        <v>3</v>
      </c>
      <c r="B10" s="676" t="s">
        <v>476</v>
      </c>
    </row>
    <row r="11" spans="1:2" ht="15" customHeight="1" x14ac:dyDescent="0.25">
      <c r="B11" s="676"/>
    </row>
    <row r="12" spans="1:2" ht="24" customHeight="1" x14ac:dyDescent="0.25">
      <c r="A12" s="677">
        <v>4</v>
      </c>
      <c r="B12" s="676" t="s">
        <v>477</v>
      </c>
    </row>
    <row r="13" spans="1:2" ht="15" customHeight="1" x14ac:dyDescent="0.25">
      <c r="B13" s="676"/>
    </row>
    <row r="14" spans="1:2" ht="24" customHeight="1" x14ac:dyDescent="0.25">
      <c r="A14" s="677">
        <v>5</v>
      </c>
      <c r="B14" s="676" t="s">
        <v>478</v>
      </c>
    </row>
    <row r="15" spans="1:2" ht="15" customHeight="1" x14ac:dyDescent="0.25">
      <c r="B15" s="676"/>
    </row>
    <row r="16" spans="1:2" ht="30" x14ac:dyDescent="0.25">
      <c r="A16" s="677">
        <v>6</v>
      </c>
      <c r="B16" s="676" t="s">
        <v>483</v>
      </c>
    </row>
    <row r="17" spans="1:2" ht="15" customHeight="1" x14ac:dyDescent="0.25">
      <c r="B17" s="676"/>
    </row>
    <row r="18" spans="1:2" ht="24" customHeight="1" x14ac:dyDescent="0.25">
      <c r="A18" s="677">
        <v>7</v>
      </c>
      <c r="B18" s="676" t="s">
        <v>479</v>
      </c>
    </row>
    <row r="19" spans="1:2" ht="15" customHeight="1" x14ac:dyDescent="0.25">
      <c r="B19" s="676"/>
    </row>
    <row r="20" spans="1:2" ht="30" x14ac:dyDescent="0.25">
      <c r="A20" s="677">
        <v>8</v>
      </c>
      <c r="B20" s="676" t="s">
        <v>480</v>
      </c>
    </row>
  </sheetData>
  <mergeCells count="2">
    <mergeCell ref="A1:B1"/>
    <mergeCell ref="A3:B4"/>
  </mergeCells>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20">
    <tabColor rgb="FFFF0000"/>
    <pageSetUpPr fitToPage="1"/>
  </sheetPr>
  <dimension ref="A1:X118"/>
  <sheetViews>
    <sheetView topLeftCell="D1" zoomScale="70" zoomScaleNormal="70" workbookViewId="0">
      <pane ySplit="1" topLeftCell="A23" activePane="bottomLeft" state="frozen"/>
      <selection activeCell="DD94" sqref="DD94"/>
      <selection pane="bottomLeft" activeCell="DD94" sqref="DD94"/>
    </sheetView>
  </sheetViews>
  <sheetFormatPr defaultColWidth="20.44140625" defaultRowHeight="42" customHeight="1" x14ac:dyDescent="0.25"/>
  <cols>
    <col min="1" max="1" width="26.44140625" style="77" customWidth="1"/>
    <col min="2" max="2" width="20.44140625" style="77"/>
    <col min="3" max="3" width="20.44140625" style="77" customWidth="1"/>
    <col min="4" max="17" width="20.44140625" style="77"/>
    <col min="18" max="18" width="47.6640625" style="77" customWidth="1"/>
    <col min="19" max="19" width="27" style="77" customWidth="1"/>
    <col min="20" max="21" width="20.44140625" style="77"/>
    <col min="22" max="23" width="20.44140625" style="99"/>
    <col min="24" max="16384" width="20.44140625" style="77"/>
  </cols>
  <sheetData>
    <row r="1" spans="1:24" ht="42" customHeight="1" thickBot="1" x14ac:dyDescent="0.3">
      <c r="A1" s="900" t="s">
        <v>189</v>
      </c>
      <c r="B1" s="900"/>
      <c r="C1" s="900"/>
      <c r="D1" s="900"/>
      <c r="E1" s="900"/>
      <c r="F1" s="900"/>
      <c r="G1" s="900"/>
      <c r="H1" s="900"/>
      <c r="I1" s="900"/>
      <c r="J1" s="900"/>
      <c r="K1" s="900"/>
      <c r="L1" s="900"/>
      <c r="M1" s="900"/>
      <c r="N1" s="900"/>
      <c r="O1" s="900"/>
      <c r="Q1" s="76"/>
      <c r="R1" s="76"/>
      <c r="S1" s="76"/>
      <c r="T1" s="76"/>
      <c r="U1" s="76"/>
      <c r="V1" s="76"/>
      <c r="W1" s="76"/>
      <c r="X1" s="76"/>
    </row>
    <row r="2" spans="1:24" ht="30" customHeight="1" x14ac:dyDescent="0.25">
      <c r="A2" s="224"/>
      <c r="B2" s="224"/>
      <c r="C2" s="171"/>
      <c r="D2" s="171"/>
      <c r="E2" s="171"/>
      <c r="F2" s="171"/>
      <c r="G2" s="171"/>
      <c r="H2" s="171"/>
      <c r="I2" s="171"/>
      <c r="J2" s="171"/>
      <c r="K2" s="171"/>
      <c r="L2" s="171"/>
      <c r="M2" s="171"/>
      <c r="N2" s="171"/>
      <c r="O2" s="171"/>
      <c r="Q2" s="76"/>
      <c r="R2" s="76"/>
      <c r="S2" s="76"/>
      <c r="T2" s="76"/>
      <c r="U2" s="76"/>
      <c r="V2" s="76"/>
      <c r="W2" s="76"/>
      <c r="X2" s="76"/>
    </row>
    <row r="3" spans="1:24" ht="42" customHeight="1" x14ac:dyDescent="0.25">
      <c r="A3" s="901" t="s">
        <v>204</v>
      </c>
      <c r="B3" s="902"/>
      <c r="C3" s="902"/>
      <c r="D3" s="902"/>
      <c r="E3" s="902"/>
      <c r="F3" s="902"/>
      <c r="G3" s="902"/>
      <c r="H3" s="902"/>
      <c r="I3" s="902"/>
      <c r="J3" s="902"/>
      <c r="K3" s="902"/>
      <c r="L3" s="902"/>
      <c r="M3" s="902"/>
      <c r="N3" s="902"/>
      <c r="O3" s="903"/>
      <c r="P3" s="75"/>
      <c r="Q3" s="76"/>
      <c r="R3" s="76"/>
      <c r="S3" s="76"/>
      <c r="T3" s="76"/>
      <c r="U3" s="76"/>
      <c r="V3" s="76"/>
      <c r="W3" s="76"/>
      <c r="X3" s="76"/>
    </row>
    <row r="4" spans="1:24" s="75" customFormat="1" ht="66.75" customHeight="1" x14ac:dyDescent="0.25">
      <c r="A4" s="176" t="s">
        <v>89</v>
      </c>
      <c r="B4" s="176" t="s">
        <v>90</v>
      </c>
      <c r="C4" s="177" t="s">
        <v>0</v>
      </c>
      <c r="D4" s="177" t="s">
        <v>124</v>
      </c>
      <c r="E4" s="176" t="s">
        <v>143</v>
      </c>
      <c r="F4" s="176" t="s">
        <v>144</v>
      </c>
      <c r="G4" s="176" t="s">
        <v>13</v>
      </c>
      <c r="H4" s="176" t="s">
        <v>88</v>
      </c>
      <c r="I4" s="176" t="s">
        <v>12</v>
      </c>
      <c r="J4" s="176" t="s">
        <v>158</v>
      </c>
      <c r="K4" s="176" t="s">
        <v>148</v>
      </c>
      <c r="L4" s="176" t="s">
        <v>153</v>
      </c>
      <c r="M4" s="176" t="s">
        <v>104</v>
      </c>
      <c r="N4" s="176" t="s">
        <v>154</v>
      </c>
      <c r="O4" s="176" t="s">
        <v>205</v>
      </c>
      <c r="P4" s="77"/>
      <c r="Q4" s="76"/>
      <c r="R4" s="76"/>
      <c r="S4" s="76"/>
      <c r="T4" s="76"/>
      <c r="U4" s="76"/>
      <c r="V4" s="76"/>
      <c r="W4" s="76"/>
      <c r="X4" s="76"/>
    </row>
    <row r="5" spans="1:24" ht="42" customHeight="1" x14ac:dyDescent="0.25">
      <c r="A5" s="82" t="s">
        <v>84</v>
      </c>
      <c r="B5" s="83" t="s">
        <v>3</v>
      </c>
      <c r="C5" s="83" t="s">
        <v>1</v>
      </c>
      <c r="D5" s="83" t="s">
        <v>1</v>
      </c>
      <c r="E5" s="84" t="s">
        <v>120</v>
      </c>
      <c r="F5" s="84" t="s">
        <v>42</v>
      </c>
      <c r="G5" s="83" t="s">
        <v>14</v>
      </c>
      <c r="H5" s="85">
        <v>44423</v>
      </c>
      <c r="I5" s="83" t="s">
        <v>23</v>
      </c>
      <c r="J5" s="173">
        <v>143.66499999999999</v>
      </c>
      <c r="K5" s="173">
        <v>125.28</v>
      </c>
      <c r="L5" s="173">
        <f>+N5-M5</f>
        <v>16.27</v>
      </c>
      <c r="M5" s="173">
        <v>1.32</v>
      </c>
      <c r="N5" s="173">
        <v>17.59</v>
      </c>
      <c r="O5" s="187"/>
      <c r="V5" s="77"/>
      <c r="W5" s="77"/>
    </row>
    <row r="6" spans="1:24" ht="42" customHeight="1" x14ac:dyDescent="0.25">
      <c r="A6" s="90" t="s">
        <v>84</v>
      </c>
      <c r="B6" s="91" t="s">
        <v>3</v>
      </c>
      <c r="C6" s="91" t="s">
        <v>1</v>
      </c>
      <c r="D6" s="91" t="s">
        <v>1</v>
      </c>
      <c r="E6" s="92" t="s">
        <v>120</v>
      </c>
      <c r="F6" s="91" t="s">
        <v>42</v>
      </c>
      <c r="G6" s="91" t="s">
        <v>14</v>
      </c>
      <c r="H6" s="93">
        <v>44576</v>
      </c>
      <c r="I6" s="91" t="s">
        <v>24</v>
      </c>
      <c r="J6" s="174">
        <v>27.395</v>
      </c>
      <c r="K6" s="174">
        <v>27.26</v>
      </c>
      <c r="L6" s="174">
        <f>+N6-M6</f>
        <v>4.79</v>
      </c>
      <c r="M6" s="174">
        <v>0.08</v>
      </c>
      <c r="N6" s="174">
        <v>4.87</v>
      </c>
      <c r="O6" s="188"/>
      <c r="V6" s="77"/>
      <c r="W6" s="77"/>
    </row>
    <row r="7" spans="1:24" ht="42" customHeight="1" x14ac:dyDescent="0.25">
      <c r="A7" s="82" t="s">
        <v>84</v>
      </c>
      <c r="B7" s="83" t="s">
        <v>3</v>
      </c>
      <c r="C7" s="83" t="s">
        <v>194</v>
      </c>
      <c r="D7" s="83" t="s">
        <v>194</v>
      </c>
      <c r="E7" s="84" t="s">
        <v>39</v>
      </c>
      <c r="F7" s="84" t="s">
        <v>36</v>
      </c>
      <c r="G7" s="83" t="s">
        <v>14</v>
      </c>
      <c r="H7" s="85">
        <v>44576</v>
      </c>
      <c r="I7" s="83" t="s">
        <v>24</v>
      </c>
      <c r="J7" s="173">
        <v>26.85</v>
      </c>
      <c r="K7" s="173">
        <v>26.75</v>
      </c>
      <c r="L7" s="173">
        <f>+N7-M7</f>
        <v>4.6899999999999995</v>
      </c>
      <c r="M7" s="173">
        <v>0.08</v>
      </c>
      <c r="N7" s="173">
        <v>4.7699999999999996</v>
      </c>
      <c r="O7" s="187"/>
      <c r="V7" s="77"/>
      <c r="W7" s="77"/>
    </row>
    <row r="8" spans="1:24" ht="42" customHeight="1" x14ac:dyDescent="0.25">
      <c r="A8" s="90" t="s">
        <v>84</v>
      </c>
      <c r="B8" s="91" t="s">
        <v>3</v>
      </c>
      <c r="C8" s="91" t="s">
        <v>11</v>
      </c>
      <c r="D8" s="91" t="s">
        <v>125</v>
      </c>
      <c r="E8" s="92" t="s">
        <v>39</v>
      </c>
      <c r="F8" s="91" t="s">
        <v>38</v>
      </c>
      <c r="G8" s="91" t="s">
        <v>14</v>
      </c>
      <c r="H8" s="93">
        <v>46296</v>
      </c>
      <c r="I8" s="91" t="s">
        <v>25</v>
      </c>
      <c r="J8" s="174">
        <v>40.875</v>
      </c>
      <c r="K8" s="174">
        <v>39.75</v>
      </c>
      <c r="L8" s="174">
        <f>+N8-M8</f>
        <v>6.61</v>
      </c>
      <c r="M8" s="174">
        <v>0.08</v>
      </c>
      <c r="N8" s="174">
        <v>6.69</v>
      </c>
      <c r="O8" s="188"/>
      <c r="V8" s="77"/>
      <c r="W8" s="77"/>
    </row>
    <row r="9" spans="1:24" s="97" customFormat="1" ht="42" customHeight="1" x14ac:dyDescent="0.25">
      <c r="A9" s="98"/>
      <c r="B9" s="111"/>
      <c r="C9" s="111"/>
      <c r="D9" s="111"/>
      <c r="E9" s="123"/>
      <c r="F9" s="111"/>
      <c r="G9" s="111"/>
      <c r="H9" s="114"/>
      <c r="I9" s="111"/>
      <c r="J9" s="189"/>
      <c r="K9" s="189"/>
      <c r="L9" s="189"/>
      <c r="M9" s="189"/>
      <c r="N9" s="190">
        <f>SUM(N5:N8)</f>
        <v>33.92</v>
      </c>
      <c r="O9" s="190"/>
    </row>
    <row r="10" spans="1:24" ht="42" customHeight="1" x14ac:dyDescent="0.25">
      <c r="A10" s="90"/>
      <c r="B10" s="91"/>
      <c r="C10" s="91"/>
      <c r="D10" s="91"/>
      <c r="E10" s="92"/>
      <c r="F10" s="91"/>
      <c r="G10" s="91"/>
      <c r="H10" s="93"/>
      <c r="I10" s="91"/>
      <c r="J10" s="174"/>
      <c r="K10" s="174"/>
      <c r="L10" s="174"/>
      <c r="M10" s="174"/>
      <c r="N10" s="188"/>
      <c r="O10" s="188"/>
      <c r="V10" s="77"/>
      <c r="W10" s="77"/>
    </row>
    <row r="11" spans="1:24" s="97" customFormat="1" ht="42" customHeight="1" x14ac:dyDescent="0.25">
      <c r="A11" s="901" t="s">
        <v>203</v>
      </c>
      <c r="B11" s="902"/>
      <c r="C11" s="902"/>
      <c r="D11" s="902"/>
      <c r="E11" s="902"/>
      <c r="F11" s="902"/>
      <c r="G11" s="902"/>
      <c r="H11" s="902"/>
      <c r="I11" s="902"/>
      <c r="J11" s="902"/>
      <c r="K11" s="902"/>
      <c r="L11" s="902"/>
      <c r="M11" s="902"/>
      <c r="N11" s="902"/>
      <c r="O11" s="903"/>
    </row>
    <row r="12" spans="1:24" s="97" customFormat="1" ht="74.25" customHeight="1" x14ac:dyDescent="0.25">
      <c r="A12" s="176" t="s">
        <v>89</v>
      </c>
      <c r="B12" s="176" t="s">
        <v>90</v>
      </c>
      <c r="C12" s="177" t="s">
        <v>0</v>
      </c>
      <c r="D12" s="180" t="s">
        <v>124</v>
      </c>
      <c r="E12" s="176" t="s">
        <v>143</v>
      </c>
      <c r="F12" s="176" t="s">
        <v>144</v>
      </c>
      <c r="G12" s="176" t="s">
        <v>13</v>
      </c>
      <c r="H12" s="176" t="s">
        <v>88</v>
      </c>
      <c r="I12" s="176" t="s">
        <v>12</v>
      </c>
      <c r="J12" s="176" t="s">
        <v>150</v>
      </c>
      <c r="K12" s="176" t="s">
        <v>151</v>
      </c>
      <c r="L12" s="176" t="s">
        <v>157</v>
      </c>
      <c r="M12" s="176" t="s">
        <v>149</v>
      </c>
      <c r="N12" s="176" t="s">
        <v>154</v>
      </c>
      <c r="O12" s="176" t="s">
        <v>205</v>
      </c>
    </row>
    <row r="13" spans="1:24" s="178" customFormat="1" ht="24" customHeight="1" x14ac:dyDescent="0.25">
      <c r="A13" s="184" t="s">
        <v>197</v>
      </c>
      <c r="B13" s="184"/>
      <c r="C13" s="185"/>
      <c r="D13" s="185"/>
      <c r="E13" s="184"/>
      <c r="F13" s="184"/>
      <c r="G13" s="184"/>
      <c r="H13" s="184"/>
      <c r="I13" s="184"/>
      <c r="J13" s="184"/>
      <c r="K13" s="184"/>
      <c r="L13" s="184"/>
      <c r="M13" s="184"/>
      <c r="N13" s="184"/>
      <c r="O13" s="186"/>
    </row>
    <row r="14" spans="1:24" ht="42" customHeight="1" x14ac:dyDescent="0.25">
      <c r="A14" s="90" t="s">
        <v>84</v>
      </c>
      <c r="B14" s="91" t="s">
        <v>7</v>
      </c>
      <c r="C14" s="91" t="s">
        <v>4</v>
      </c>
      <c r="D14" s="91" t="s">
        <v>126</v>
      </c>
      <c r="E14" s="92" t="s">
        <v>30</v>
      </c>
      <c r="F14" s="91" t="s">
        <v>142</v>
      </c>
      <c r="G14" s="91" t="s">
        <v>22</v>
      </c>
      <c r="H14" s="93">
        <v>41090</v>
      </c>
      <c r="I14" s="91" t="s">
        <v>176</v>
      </c>
      <c r="J14" s="285">
        <v>33.978000000000002</v>
      </c>
      <c r="K14" s="285">
        <v>11.1</v>
      </c>
      <c r="L14" s="285">
        <v>22.873999999999999</v>
      </c>
      <c r="M14" s="188"/>
      <c r="N14" s="188"/>
      <c r="O14" s="188"/>
      <c r="V14" s="77"/>
      <c r="W14" s="77"/>
    </row>
    <row r="15" spans="1:24" ht="42" customHeight="1" x14ac:dyDescent="0.25">
      <c r="A15" s="82" t="s">
        <v>8</v>
      </c>
      <c r="B15" s="83" t="s">
        <v>7</v>
      </c>
      <c r="C15" s="83" t="s">
        <v>4</v>
      </c>
      <c r="D15" s="83" t="s">
        <v>126</v>
      </c>
      <c r="E15" s="84" t="s">
        <v>30</v>
      </c>
      <c r="F15" s="84" t="s">
        <v>142</v>
      </c>
      <c r="G15" s="83" t="s">
        <v>22</v>
      </c>
      <c r="H15" s="85">
        <v>41455</v>
      </c>
      <c r="I15" s="83" t="s">
        <v>131</v>
      </c>
      <c r="J15" s="284">
        <v>25.824999999999999</v>
      </c>
      <c r="K15" s="284"/>
      <c r="L15" s="284">
        <v>25.824999999999999</v>
      </c>
      <c r="M15" s="187"/>
      <c r="N15" s="187"/>
      <c r="O15" s="187"/>
      <c r="V15" s="77"/>
      <c r="W15" s="77"/>
    </row>
    <row r="16" spans="1:24" ht="42" customHeight="1" x14ac:dyDescent="0.25">
      <c r="A16" s="90" t="s">
        <v>8</v>
      </c>
      <c r="B16" s="91" t="s">
        <v>7</v>
      </c>
      <c r="C16" s="91" t="s">
        <v>4</v>
      </c>
      <c r="D16" s="91" t="s">
        <v>126</v>
      </c>
      <c r="E16" s="92" t="s">
        <v>30</v>
      </c>
      <c r="F16" s="91" t="s">
        <v>142</v>
      </c>
      <c r="G16" s="91" t="s">
        <v>22</v>
      </c>
      <c r="H16" s="93">
        <v>41820</v>
      </c>
      <c r="I16" s="91" t="s">
        <v>132</v>
      </c>
      <c r="J16" s="285">
        <v>10.169</v>
      </c>
      <c r="K16" s="285"/>
      <c r="L16" s="285">
        <v>10.169</v>
      </c>
      <c r="M16" s="188"/>
      <c r="N16" s="188"/>
      <c r="O16" s="188"/>
      <c r="V16" s="77"/>
      <c r="W16" s="77"/>
    </row>
    <row r="17" spans="1:23" ht="42" customHeight="1" x14ac:dyDescent="0.25">
      <c r="A17" s="82"/>
      <c r="B17" s="83"/>
      <c r="C17" s="83"/>
      <c r="D17" s="83"/>
      <c r="E17" s="84"/>
      <c r="F17" s="84"/>
      <c r="G17" s="83"/>
      <c r="H17" s="85"/>
      <c r="I17" s="83" t="s">
        <v>133</v>
      </c>
      <c r="J17" s="191">
        <v>1.486</v>
      </c>
      <c r="K17" s="191">
        <v>0</v>
      </c>
      <c r="L17" s="191">
        <v>1.486</v>
      </c>
      <c r="M17" s="187"/>
      <c r="N17" s="187"/>
      <c r="O17" s="187"/>
      <c r="V17" s="77"/>
      <c r="W17" s="77"/>
    </row>
    <row r="18" spans="1:23" ht="42" customHeight="1" x14ac:dyDescent="0.25">
      <c r="A18" s="181"/>
      <c r="B18" s="181"/>
      <c r="C18" s="181"/>
      <c r="D18" s="181"/>
      <c r="E18" s="182"/>
      <c r="F18" s="181"/>
      <c r="G18" s="181"/>
      <c r="H18" s="183" t="s">
        <v>206</v>
      </c>
      <c r="I18" s="181"/>
      <c r="J18" s="283">
        <f>SUM(J14:J17)</f>
        <v>71.457999999999998</v>
      </c>
      <c r="K18" s="283">
        <f>SUM(K14:K17)</f>
        <v>11.1</v>
      </c>
      <c r="L18" s="283">
        <f>SUM(L14:L17)</f>
        <v>60.353999999999992</v>
      </c>
      <c r="M18" s="287">
        <v>42.01</v>
      </c>
      <c r="N18" s="287">
        <v>18.34</v>
      </c>
      <c r="O18" s="287">
        <v>35</v>
      </c>
      <c r="V18" s="77"/>
      <c r="W18" s="77"/>
    </row>
    <row r="19" spans="1:23" s="178" customFormat="1" ht="24" customHeight="1" x14ac:dyDescent="0.25">
      <c r="A19" s="184" t="s">
        <v>198</v>
      </c>
      <c r="B19" s="184"/>
      <c r="C19" s="185"/>
      <c r="D19" s="185"/>
      <c r="E19" s="184"/>
      <c r="F19" s="184"/>
      <c r="G19" s="184"/>
      <c r="H19" s="184"/>
      <c r="I19" s="184"/>
      <c r="J19" s="184"/>
      <c r="K19" s="184"/>
      <c r="L19" s="184"/>
      <c r="M19" s="184"/>
      <c r="N19" s="184"/>
      <c r="O19" s="186"/>
    </row>
    <row r="20" spans="1:23" s="97" customFormat="1" ht="58.5" customHeight="1" x14ac:dyDescent="0.25">
      <c r="A20" s="82" t="s">
        <v>8</v>
      </c>
      <c r="B20" s="83" t="s">
        <v>7</v>
      </c>
      <c r="C20" s="83" t="s">
        <v>27</v>
      </c>
      <c r="D20" s="83" t="s">
        <v>127</v>
      </c>
      <c r="E20" s="84" t="s">
        <v>33</v>
      </c>
      <c r="F20" s="84" t="s">
        <v>45</v>
      </c>
      <c r="G20" s="83" t="s">
        <v>22</v>
      </c>
      <c r="H20" s="85">
        <v>41090</v>
      </c>
      <c r="I20" s="83" t="s">
        <v>135</v>
      </c>
      <c r="J20" s="288">
        <v>6.5709999999999997</v>
      </c>
      <c r="K20" s="288">
        <v>3.6389999999999998</v>
      </c>
      <c r="L20" s="288">
        <v>2.9319999999999999</v>
      </c>
      <c r="M20" s="187"/>
      <c r="N20" s="187"/>
      <c r="O20" s="187"/>
    </row>
    <row r="21" spans="1:23" ht="42" customHeight="1" x14ac:dyDescent="0.25">
      <c r="A21" s="90" t="s">
        <v>8</v>
      </c>
      <c r="B21" s="91" t="s">
        <v>7</v>
      </c>
      <c r="C21" s="91" t="s">
        <v>92</v>
      </c>
      <c r="D21" s="91" t="s">
        <v>128</v>
      </c>
      <c r="E21" s="92" t="s">
        <v>33</v>
      </c>
      <c r="F21" s="91" t="s">
        <v>44</v>
      </c>
      <c r="G21" s="91" t="s">
        <v>22</v>
      </c>
      <c r="H21" s="93">
        <v>41090</v>
      </c>
      <c r="I21" s="91" t="s">
        <v>136</v>
      </c>
      <c r="J21" s="289">
        <v>0.253</v>
      </c>
      <c r="K21" s="289">
        <v>0.24</v>
      </c>
      <c r="L21" s="289">
        <v>1.2999999999999999E-2</v>
      </c>
      <c r="M21" s="188"/>
      <c r="N21" s="188"/>
      <c r="O21" s="188"/>
      <c r="V21" s="77"/>
      <c r="W21" s="77"/>
    </row>
    <row r="22" spans="1:23" s="97" customFormat="1" ht="51" customHeight="1" x14ac:dyDescent="0.25">
      <c r="A22" s="82" t="s">
        <v>8</v>
      </c>
      <c r="B22" s="83" t="s">
        <v>7</v>
      </c>
      <c r="C22" s="83" t="s">
        <v>27</v>
      </c>
      <c r="D22" s="83" t="s">
        <v>127</v>
      </c>
      <c r="E22" s="84" t="s">
        <v>33</v>
      </c>
      <c r="F22" s="84" t="s">
        <v>45</v>
      </c>
      <c r="G22" s="83" t="s">
        <v>22</v>
      </c>
      <c r="H22" s="85">
        <v>41455</v>
      </c>
      <c r="I22" s="83" t="s">
        <v>137</v>
      </c>
      <c r="J22" s="288">
        <v>5.2489999999999997</v>
      </c>
      <c r="K22" s="288"/>
      <c r="L22" s="288">
        <v>5.2489999999999997</v>
      </c>
      <c r="M22" s="187"/>
      <c r="N22" s="187"/>
      <c r="O22" s="187"/>
    </row>
    <row r="23" spans="1:23" ht="42" customHeight="1" x14ac:dyDescent="0.25">
      <c r="A23" s="90" t="s">
        <v>84</v>
      </c>
      <c r="B23" s="91" t="s">
        <v>7</v>
      </c>
      <c r="C23" s="91" t="s">
        <v>92</v>
      </c>
      <c r="D23" s="91" t="s">
        <v>128</v>
      </c>
      <c r="E23" s="92" t="s">
        <v>33</v>
      </c>
      <c r="F23" s="91" t="s">
        <v>44</v>
      </c>
      <c r="G23" s="91" t="s">
        <v>22</v>
      </c>
      <c r="H23" s="93">
        <v>41455</v>
      </c>
      <c r="I23" s="91" t="s">
        <v>137</v>
      </c>
      <c r="J23" s="289">
        <v>2.5999999999999999E-2</v>
      </c>
      <c r="K23" s="289"/>
      <c r="L23" s="289">
        <v>2.5999999999999999E-2</v>
      </c>
      <c r="M23" s="188"/>
      <c r="N23" s="188"/>
      <c r="O23" s="188"/>
      <c r="V23" s="77"/>
      <c r="W23" s="77"/>
    </row>
    <row r="24" spans="1:23" s="97" customFormat="1" ht="55.5" customHeight="1" x14ac:dyDescent="0.25">
      <c r="A24" s="82" t="s">
        <v>84</v>
      </c>
      <c r="B24" s="83" t="s">
        <v>7</v>
      </c>
      <c r="C24" s="83" t="s">
        <v>27</v>
      </c>
      <c r="D24" s="83" t="s">
        <v>127</v>
      </c>
      <c r="E24" s="84" t="s">
        <v>33</v>
      </c>
      <c r="F24" s="84" t="s">
        <v>45</v>
      </c>
      <c r="G24" s="83" t="s">
        <v>22</v>
      </c>
      <c r="H24" s="85">
        <v>41820</v>
      </c>
      <c r="I24" s="83" t="s">
        <v>138</v>
      </c>
      <c r="J24" s="288">
        <v>0.92100000000000004</v>
      </c>
      <c r="K24" s="288"/>
      <c r="L24" s="288">
        <v>0.92100000000000004</v>
      </c>
      <c r="M24" s="187"/>
      <c r="N24" s="187"/>
      <c r="O24" s="187"/>
    </row>
    <row r="25" spans="1:23" ht="42" customHeight="1" x14ac:dyDescent="0.25">
      <c r="A25" s="90" t="s">
        <v>8</v>
      </c>
      <c r="B25" s="91" t="s">
        <v>7</v>
      </c>
      <c r="C25" s="91" t="s">
        <v>92</v>
      </c>
      <c r="D25" s="91" t="s">
        <v>128</v>
      </c>
      <c r="E25" s="92" t="s">
        <v>33</v>
      </c>
      <c r="F25" s="91" t="s">
        <v>44</v>
      </c>
      <c r="G25" s="91" t="s">
        <v>22</v>
      </c>
      <c r="H25" s="93">
        <v>41820</v>
      </c>
      <c r="I25" s="91" t="s">
        <v>138</v>
      </c>
      <c r="J25" s="289">
        <v>0.214</v>
      </c>
      <c r="K25" s="289"/>
      <c r="L25" s="289">
        <v>0.214</v>
      </c>
      <c r="M25" s="188"/>
      <c r="N25" s="188"/>
      <c r="O25" s="188"/>
      <c r="V25" s="77"/>
      <c r="W25" s="77"/>
    </row>
    <row r="26" spans="1:23" s="97" customFormat="1" ht="42" customHeight="1" x14ac:dyDescent="0.25">
      <c r="A26" s="82" t="s">
        <v>8</v>
      </c>
      <c r="B26" s="83" t="s">
        <v>7</v>
      </c>
      <c r="C26" s="83"/>
      <c r="D26" s="83"/>
      <c r="E26" s="84"/>
      <c r="F26" s="84"/>
      <c r="G26" s="83"/>
      <c r="H26" s="85"/>
      <c r="I26" s="83" t="s">
        <v>139</v>
      </c>
      <c r="J26" s="288"/>
      <c r="K26" s="288"/>
      <c r="L26" s="288"/>
      <c r="M26" s="187"/>
      <c r="N26" s="187"/>
      <c r="O26" s="187"/>
    </row>
    <row r="27" spans="1:23" ht="42" customHeight="1" x14ac:dyDescent="0.25">
      <c r="A27" s="90" t="s">
        <v>8</v>
      </c>
      <c r="B27" s="91" t="s">
        <v>7</v>
      </c>
      <c r="C27" s="91"/>
      <c r="D27" s="91"/>
      <c r="E27" s="92"/>
      <c r="F27" s="91"/>
      <c r="G27" s="91"/>
      <c r="H27" s="93"/>
      <c r="I27" s="91" t="s">
        <v>139</v>
      </c>
      <c r="J27" s="291"/>
      <c r="K27" s="291"/>
      <c r="L27" s="291"/>
      <c r="M27" s="193"/>
      <c r="N27" s="193"/>
      <c r="O27" s="193"/>
      <c r="V27" s="77"/>
      <c r="W27" s="77"/>
    </row>
    <row r="28" spans="1:23" s="97" customFormat="1" ht="42" customHeight="1" x14ac:dyDescent="0.25">
      <c r="A28" s="181"/>
      <c r="B28" s="181"/>
      <c r="C28" s="181"/>
      <c r="D28" s="181"/>
      <c r="E28" s="182"/>
      <c r="F28" s="181"/>
      <c r="G28" s="181"/>
      <c r="H28" s="183" t="s">
        <v>206</v>
      </c>
      <c r="I28" s="181"/>
      <c r="J28" s="290">
        <f>SUM(J20:J27)</f>
        <v>13.234</v>
      </c>
      <c r="K28" s="290">
        <f>SUM(K20:K27)</f>
        <v>3.8789999999999996</v>
      </c>
      <c r="L28" s="290">
        <f>SUM(L20:L27)</f>
        <v>9.3549999999999986</v>
      </c>
      <c r="M28" s="192">
        <v>9.15</v>
      </c>
      <c r="N28" s="192">
        <v>0.21</v>
      </c>
      <c r="O28" s="192"/>
    </row>
    <row r="29" spans="1:23" ht="48" customHeight="1" x14ac:dyDescent="0.25">
      <c r="A29" s="901" t="s">
        <v>202</v>
      </c>
      <c r="B29" s="902"/>
      <c r="C29" s="902"/>
      <c r="D29" s="902"/>
      <c r="E29" s="902"/>
      <c r="F29" s="902"/>
      <c r="G29" s="902"/>
      <c r="H29" s="902"/>
      <c r="I29" s="902"/>
      <c r="J29" s="902"/>
      <c r="K29" s="902"/>
      <c r="L29" s="902"/>
      <c r="M29" s="902"/>
      <c r="N29" s="902"/>
      <c r="O29" s="903"/>
      <c r="V29" s="77"/>
      <c r="W29" s="77"/>
    </row>
    <row r="30" spans="1:23" s="97" customFormat="1" ht="66" customHeight="1" x14ac:dyDescent="0.25">
      <c r="A30" s="176" t="s">
        <v>89</v>
      </c>
      <c r="B30" s="176" t="s">
        <v>90</v>
      </c>
      <c r="C30" s="177" t="s">
        <v>0</v>
      </c>
      <c r="D30" s="177" t="s">
        <v>124</v>
      </c>
      <c r="E30" s="176" t="s">
        <v>143</v>
      </c>
      <c r="F30" s="176" t="s">
        <v>144</v>
      </c>
      <c r="G30" s="176" t="s">
        <v>13</v>
      </c>
      <c r="H30" s="176" t="s">
        <v>88</v>
      </c>
      <c r="I30" s="176" t="s">
        <v>12</v>
      </c>
      <c r="J30" s="176" t="s">
        <v>200</v>
      </c>
      <c r="K30" s="176" t="s">
        <v>199</v>
      </c>
      <c r="L30" s="176" t="s">
        <v>201</v>
      </c>
      <c r="M30" s="176" t="s">
        <v>149</v>
      </c>
      <c r="N30" s="176" t="s">
        <v>154</v>
      </c>
      <c r="O30" s="176" t="s">
        <v>205</v>
      </c>
    </row>
    <row r="31" spans="1:23" s="97" customFormat="1" ht="42" customHeight="1" x14ac:dyDescent="0.25">
      <c r="A31" s="90" t="s">
        <v>84</v>
      </c>
      <c r="B31" s="91" t="s">
        <v>9</v>
      </c>
      <c r="C31" s="91" t="s">
        <v>183</v>
      </c>
      <c r="D31" s="91" t="s">
        <v>142</v>
      </c>
      <c r="E31" s="92" t="s">
        <v>142</v>
      </c>
      <c r="F31" s="91" t="s">
        <v>142</v>
      </c>
      <c r="G31" s="91" t="s">
        <v>22</v>
      </c>
      <c r="H31" s="93">
        <v>41449</v>
      </c>
      <c r="I31" s="91" t="s">
        <v>172</v>
      </c>
      <c r="J31" s="179">
        <v>7.0349999999999996E-2</v>
      </c>
      <c r="K31" s="179">
        <v>0</v>
      </c>
      <c r="L31" s="292">
        <v>7.0349999999999996E-2</v>
      </c>
      <c r="M31" s="179">
        <f>1.344*50000/1000000</f>
        <v>6.7199999999999996E-2</v>
      </c>
      <c r="N31" s="292">
        <f>+L31-M31</f>
        <v>3.15E-3</v>
      </c>
      <c r="O31" s="179"/>
      <c r="V31" s="100"/>
      <c r="W31" s="100"/>
    </row>
    <row r="32" spans="1:23" ht="42" customHeight="1" x14ac:dyDescent="0.25">
      <c r="A32" s="98"/>
      <c r="J32" s="144"/>
      <c r="K32" s="144"/>
      <c r="L32" s="144"/>
      <c r="M32" s="144"/>
      <c r="N32" s="144"/>
      <c r="O32" s="144"/>
      <c r="R32" s="76"/>
      <c r="S32" s="76"/>
      <c r="T32" s="76"/>
      <c r="U32" s="76"/>
      <c r="V32" s="123"/>
      <c r="W32" s="123"/>
    </row>
    <row r="33" spans="1:23" ht="42" customHeight="1" x14ac:dyDescent="0.25">
      <c r="R33" s="76"/>
      <c r="S33" s="76"/>
      <c r="T33" s="76"/>
      <c r="U33" s="76"/>
      <c r="V33" s="123"/>
      <c r="W33" s="123"/>
    </row>
    <row r="41" spans="1:23" s="198" customFormat="1" ht="42" customHeight="1" thickBot="1" x14ac:dyDescent="0.3">
      <c r="A41" s="904" t="s">
        <v>207</v>
      </c>
      <c r="B41" s="904"/>
      <c r="C41" s="904"/>
      <c r="D41" s="904"/>
      <c r="E41" s="904"/>
      <c r="F41" s="904"/>
      <c r="G41" s="904"/>
      <c r="H41" s="904"/>
      <c r="I41" s="904"/>
      <c r="J41" s="904"/>
      <c r="K41" s="904"/>
      <c r="L41" s="904"/>
      <c r="M41" s="904"/>
      <c r="N41" s="904"/>
      <c r="O41" s="904"/>
      <c r="V41" s="199"/>
      <c r="W41" s="199"/>
    </row>
    <row r="42" spans="1:23" ht="42" customHeight="1" x14ac:dyDescent="0.3">
      <c r="A42" s="905" t="s">
        <v>140</v>
      </c>
      <c r="B42" s="905"/>
      <c r="C42" s="905"/>
      <c r="D42" s="905"/>
      <c r="E42" s="905"/>
      <c r="F42" s="905"/>
    </row>
    <row r="43" spans="1:23" ht="42" customHeight="1" x14ac:dyDescent="0.3">
      <c r="A43" s="202" t="s">
        <v>0</v>
      </c>
      <c r="B43" s="203" t="s">
        <v>108</v>
      </c>
      <c r="C43" s="203" t="s">
        <v>109</v>
      </c>
      <c r="D43" s="202" t="s">
        <v>173</v>
      </c>
      <c r="E43" s="202" t="s">
        <v>106</v>
      </c>
      <c r="F43" s="202" t="s">
        <v>110</v>
      </c>
      <c r="H43" s="203" t="s">
        <v>208</v>
      </c>
    </row>
    <row r="44" spans="1:23" ht="9" customHeight="1" x14ac:dyDescent="0.25">
      <c r="A44" s="168"/>
      <c r="B44" s="168"/>
      <c r="C44" s="168"/>
      <c r="D44" s="168"/>
      <c r="E44" s="168"/>
      <c r="F44" s="168"/>
    </row>
    <row r="45" spans="1:23" ht="42" customHeight="1" x14ac:dyDescent="0.25">
      <c r="A45" s="211" t="s">
        <v>27</v>
      </c>
      <c r="B45" s="204">
        <v>0</v>
      </c>
      <c r="C45" s="204">
        <v>11.844329760000001</v>
      </c>
      <c r="D45" s="204">
        <v>0</v>
      </c>
      <c r="E45" s="204">
        <f>SUM(B45:D45)</f>
        <v>11.844329760000001</v>
      </c>
      <c r="F45" s="205">
        <f>+E45/$E$52</f>
        <v>3.9125896820043859E-2</v>
      </c>
      <c r="H45" s="144">
        <f>+N28</f>
        <v>0.21</v>
      </c>
    </row>
    <row r="46" spans="1:23" ht="42" customHeight="1" x14ac:dyDescent="0.25">
      <c r="A46" s="211" t="s">
        <v>92</v>
      </c>
      <c r="B46" s="204">
        <v>0</v>
      </c>
      <c r="C46" s="204">
        <v>0.41141679999999997</v>
      </c>
      <c r="D46" s="204">
        <v>0</v>
      </c>
      <c r="E46" s="204">
        <f t="shared" ref="E46:E51" si="0">SUM(B46:D46)</f>
        <v>0.41141679999999997</v>
      </c>
      <c r="F46" s="205">
        <f t="shared" ref="F46:F51" si="1">+E46/$E$52</f>
        <v>1.3590512585350898E-3</v>
      </c>
    </row>
    <row r="47" spans="1:23" ht="42" customHeight="1" x14ac:dyDescent="0.25">
      <c r="A47" s="168" t="s">
        <v>2</v>
      </c>
      <c r="B47" s="204">
        <v>26.7425</v>
      </c>
      <c r="C47" s="204">
        <v>0</v>
      </c>
      <c r="D47" s="204">
        <v>0</v>
      </c>
      <c r="E47" s="204">
        <f t="shared" si="0"/>
        <v>26.7425</v>
      </c>
      <c r="F47" s="205">
        <f t="shared" si="1"/>
        <v>8.8339679569173254E-2</v>
      </c>
      <c r="H47" s="144">
        <f>+N7</f>
        <v>4.7699999999999996</v>
      </c>
    </row>
    <row r="48" spans="1:23" ht="42" customHeight="1" x14ac:dyDescent="0.25">
      <c r="A48" s="211" t="s">
        <v>11</v>
      </c>
      <c r="B48" s="204">
        <v>40.875</v>
      </c>
      <c r="C48" s="204">
        <v>0</v>
      </c>
      <c r="D48" s="204">
        <v>0</v>
      </c>
      <c r="E48" s="204">
        <f t="shared" si="0"/>
        <v>40.875</v>
      </c>
      <c r="F48" s="205">
        <f t="shared" si="1"/>
        <v>0.13502419004917104</v>
      </c>
      <c r="H48" s="144">
        <f>+N8</f>
        <v>6.69</v>
      </c>
    </row>
    <row r="49" spans="1:8" ht="42" customHeight="1" x14ac:dyDescent="0.25">
      <c r="A49" s="168" t="s">
        <v>1</v>
      </c>
      <c r="B49" s="204">
        <v>159.3775</v>
      </c>
      <c r="C49" s="204">
        <v>0</v>
      </c>
      <c r="D49" s="204">
        <v>0</v>
      </c>
      <c r="E49" s="204">
        <f t="shared" si="0"/>
        <v>159.3775</v>
      </c>
      <c r="F49" s="205">
        <f t="shared" si="1"/>
        <v>0.52647872414829988</v>
      </c>
      <c r="H49" s="144">
        <f>+N5+N6</f>
        <v>22.46</v>
      </c>
    </row>
    <row r="50" spans="1:8" ht="42" customHeight="1" x14ac:dyDescent="0.25">
      <c r="A50" s="168" t="s">
        <v>4</v>
      </c>
      <c r="B50" s="204">
        <v>0</v>
      </c>
      <c r="C50" s="204">
        <v>63.402437535000054</v>
      </c>
      <c r="D50" s="204">
        <v>0</v>
      </c>
      <c r="E50" s="204">
        <f t="shared" si="0"/>
        <v>63.402437535000054</v>
      </c>
      <c r="F50" s="205">
        <f t="shared" si="1"/>
        <v>0.20944006789740779</v>
      </c>
      <c r="H50" s="144">
        <f>+N18</f>
        <v>18.34</v>
      </c>
    </row>
    <row r="51" spans="1:8" ht="42" customHeight="1" x14ac:dyDescent="0.4">
      <c r="A51" s="168" t="s">
        <v>183</v>
      </c>
      <c r="B51" s="206">
        <v>0</v>
      </c>
      <c r="C51" s="206">
        <v>0</v>
      </c>
      <c r="D51" s="206">
        <v>7.0349999999999996E-2</v>
      </c>
      <c r="E51" s="206">
        <f t="shared" si="0"/>
        <v>7.0349999999999996E-2</v>
      </c>
      <c r="F51" s="207">
        <f t="shared" si="1"/>
        <v>2.32390257369032E-4</v>
      </c>
      <c r="H51" s="212">
        <f>+N31</f>
        <v>3.15E-3</v>
      </c>
    </row>
    <row r="52" spans="1:8" ht="42" customHeight="1" x14ac:dyDescent="0.4">
      <c r="A52" s="168" t="s">
        <v>106</v>
      </c>
      <c r="B52" s="209">
        <v>226.995</v>
      </c>
      <c r="C52" s="209">
        <f>SUM(C45:C51)</f>
        <v>75.658184095000053</v>
      </c>
      <c r="D52" s="209">
        <f t="shared" ref="D52:H52" si="2">SUM(D45:D51)</f>
        <v>7.0349999999999996E-2</v>
      </c>
      <c r="E52" s="209">
        <f t="shared" si="2"/>
        <v>302.72353409500005</v>
      </c>
      <c r="F52" s="210">
        <f t="shared" si="2"/>
        <v>0.99999999999999989</v>
      </c>
      <c r="H52" s="208">
        <f t="shared" si="2"/>
        <v>52.473149999999997</v>
      </c>
    </row>
    <row r="53" spans="1:8" ht="42" customHeight="1" x14ac:dyDescent="0.25">
      <c r="A53" s="168"/>
      <c r="B53" s="168"/>
      <c r="C53" s="168"/>
      <c r="D53" s="168"/>
      <c r="E53" s="168"/>
      <c r="F53" s="168"/>
    </row>
    <row r="100" spans="1:6" ht="42" customHeight="1" thickBot="1" x14ac:dyDescent="0.3"/>
    <row r="101" spans="1:6" ht="42" customHeight="1" x14ac:dyDescent="0.25">
      <c r="A101" s="894" t="s">
        <v>195</v>
      </c>
      <c r="B101" s="895"/>
      <c r="C101" s="895"/>
      <c r="D101" s="895"/>
      <c r="E101" s="895"/>
      <c r="F101" s="896"/>
    </row>
    <row r="102" spans="1:6" ht="42" customHeight="1" thickBot="1" x14ac:dyDescent="0.3">
      <c r="A102" s="897"/>
      <c r="B102" s="898"/>
      <c r="C102" s="898"/>
      <c r="D102" s="898"/>
      <c r="E102" s="898"/>
      <c r="F102" s="899"/>
    </row>
    <row r="103" spans="1:6" ht="42" customHeight="1" x14ac:dyDescent="0.25">
      <c r="A103" s="162" t="s">
        <v>5</v>
      </c>
      <c r="B103" s="161" t="s">
        <v>6</v>
      </c>
      <c r="C103" s="161" t="s">
        <v>13</v>
      </c>
      <c r="D103" s="161" t="s">
        <v>82</v>
      </c>
      <c r="E103" s="161" t="s">
        <v>115</v>
      </c>
      <c r="F103" s="163" t="s">
        <v>116</v>
      </c>
    </row>
    <row r="104" spans="1:6" ht="55.5" customHeight="1" x14ac:dyDescent="0.25">
      <c r="A104" s="104" t="s">
        <v>91</v>
      </c>
      <c r="B104" s="106" t="s">
        <v>190</v>
      </c>
      <c r="C104" s="106" t="s">
        <v>18</v>
      </c>
      <c r="D104" s="105" t="s">
        <v>8</v>
      </c>
      <c r="E104" s="106" t="s">
        <v>36</v>
      </c>
      <c r="F104" s="107" t="s">
        <v>29</v>
      </c>
    </row>
    <row r="105" spans="1:6" ht="60" customHeight="1" x14ac:dyDescent="0.25">
      <c r="A105" s="104" t="s">
        <v>27</v>
      </c>
      <c r="B105" s="106" t="s">
        <v>192</v>
      </c>
      <c r="C105" s="106" t="s">
        <v>15</v>
      </c>
      <c r="D105" s="105" t="s">
        <v>84</v>
      </c>
      <c r="E105" s="106" t="s">
        <v>35</v>
      </c>
      <c r="F105" s="107" t="s">
        <v>28</v>
      </c>
    </row>
    <row r="106" spans="1:6" ht="56.25" customHeight="1" x14ac:dyDescent="0.25">
      <c r="A106" s="117" t="s">
        <v>125</v>
      </c>
      <c r="B106" s="106" t="s">
        <v>191</v>
      </c>
      <c r="C106" s="106" t="s">
        <v>16</v>
      </c>
      <c r="D106" s="105"/>
      <c r="E106" s="106" t="s">
        <v>46</v>
      </c>
      <c r="F106" s="107" t="s">
        <v>34</v>
      </c>
    </row>
    <row r="107" spans="1:6" ht="42" customHeight="1" x14ac:dyDescent="0.25">
      <c r="A107" s="117" t="s">
        <v>128</v>
      </c>
      <c r="B107" s="106" t="s">
        <v>193</v>
      </c>
      <c r="C107" s="106" t="s">
        <v>20</v>
      </c>
      <c r="D107" s="105"/>
      <c r="E107" s="106" t="s">
        <v>142</v>
      </c>
      <c r="F107" s="107" t="s">
        <v>142</v>
      </c>
    </row>
    <row r="108" spans="1:6" ht="42" customHeight="1" x14ac:dyDescent="0.25">
      <c r="A108" s="104" t="s">
        <v>92</v>
      </c>
      <c r="B108" s="106"/>
      <c r="C108" s="106" t="s">
        <v>19</v>
      </c>
      <c r="D108" s="105"/>
      <c r="E108" s="106" t="s">
        <v>37</v>
      </c>
      <c r="F108" s="107" t="s">
        <v>30</v>
      </c>
    </row>
    <row r="109" spans="1:6" ht="42" customHeight="1" x14ac:dyDescent="0.25">
      <c r="A109" s="117" t="s">
        <v>194</v>
      </c>
      <c r="B109" s="105"/>
      <c r="C109" s="106" t="s">
        <v>21</v>
      </c>
      <c r="D109" s="105"/>
      <c r="E109" s="106" t="s">
        <v>117</v>
      </c>
      <c r="F109" s="107" t="s">
        <v>121</v>
      </c>
    </row>
    <row r="110" spans="1:6" ht="42" customHeight="1" x14ac:dyDescent="0.25">
      <c r="A110" s="104" t="s">
        <v>11</v>
      </c>
      <c r="B110" s="105"/>
      <c r="C110" s="106" t="s">
        <v>14</v>
      </c>
      <c r="D110" s="105"/>
      <c r="E110" s="106" t="s">
        <v>42</v>
      </c>
      <c r="F110" s="107" t="s">
        <v>40</v>
      </c>
    </row>
    <row r="111" spans="1:6" ht="42" customHeight="1" x14ac:dyDescent="0.25">
      <c r="A111" s="104" t="s">
        <v>1</v>
      </c>
      <c r="B111" s="105"/>
      <c r="C111" s="106" t="s">
        <v>17</v>
      </c>
      <c r="D111" s="105"/>
      <c r="E111" s="106" t="s">
        <v>38</v>
      </c>
      <c r="F111" s="107" t="s">
        <v>31</v>
      </c>
    </row>
    <row r="112" spans="1:6" ht="42" customHeight="1" x14ac:dyDescent="0.25">
      <c r="A112" s="104" t="s">
        <v>4</v>
      </c>
      <c r="B112" s="105"/>
      <c r="C112" s="106"/>
      <c r="D112" s="105"/>
      <c r="E112" s="106" t="s">
        <v>41</v>
      </c>
      <c r="F112" s="107" t="s">
        <v>39</v>
      </c>
    </row>
    <row r="113" spans="1:6" ht="42" customHeight="1" x14ac:dyDescent="0.25">
      <c r="A113" s="117" t="s">
        <v>126</v>
      </c>
      <c r="B113" s="105"/>
      <c r="C113" s="106"/>
      <c r="D113" s="105"/>
      <c r="E113" s="106" t="s">
        <v>43</v>
      </c>
      <c r="F113" s="107" t="s">
        <v>120</v>
      </c>
    </row>
    <row r="114" spans="1:6" ht="42" customHeight="1" x14ac:dyDescent="0.25">
      <c r="A114" s="117" t="s">
        <v>183</v>
      </c>
      <c r="B114" s="105"/>
      <c r="C114" s="106"/>
      <c r="D114" s="105"/>
      <c r="E114" s="106" t="s">
        <v>118</v>
      </c>
      <c r="F114" s="107" t="s">
        <v>122</v>
      </c>
    </row>
    <row r="115" spans="1:6" ht="42" customHeight="1" x14ac:dyDescent="0.25">
      <c r="A115" s="117" t="s">
        <v>142</v>
      </c>
      <c r="B115" s="105"/>
      <c r="C115" s="105"/>
      <c r="D115" s="105"/>
      <c r="E115" s="106" t="s">
        <v>37</v>
      </c>
      <c r="F115" s="107" t="s">
        <v>31</v>
      </c>
    </row>
    <row r="116" spans="1:6" ht="42" customHeight="1" x14ac:dyDescent="0.25">
      <c r="A116" s="117"/>
      <c r="B116" s="105"/>
      <c r="C116" s="105"/>
      <c r="D116" s="105"/>
      <c r="E116" s="106" t="s">
        <v>45</v>
      </c>
      <c r="F116" s="107" t="s">
        <v>33</v>
      </c>
    </row>
    <row r="117" spans="1:6" ht="42" customHeight="1" x14ac:dyDescent="0.25">
      <c r="A117" s="117"/>
      <c r="B117" s="105"/>
      <c r="C117" s="105"/>
      <c r="D117" s="105"/>
      <c r="E117" s="106" t="s">
        <v>44</v>
      </c>
      <c r="F117" s="107" t="s">
        <v>32</v>
      </c>
    </row>
    <row r="118" spans="1:6" ht="42" customHeight="1" thickBot="1" x14ac:dyDescent="0.3">
      <c r="A118" s="118"/>
      <c r="B118" s="119"/>
      <c r="C118" s="119"/>
      <c r="D118" s="119"/>
      <c r="E118" s="120" t="s">
        <v>142</v>
      </c>
      <c r="F118" s="121" t="s">
        <v>142</v>
      </c>
    </row>
  </sheetData>
  <dataConsolidate/>
  <mergeCells count="7">
    <mergeCell ref="A101:F102"/>
    <mergeCell ref="A1:O1"/>
    <mergeCell ref="A3:O3"/>
    <mergeCell ref="A11:O11"/>
    <mergeCell ref="A29:O29"/>
    <mergeCell ref="A41:O41"/>
    <mergeCell ref="A42:F42"/>
  </mergeCells>
  <dataValidations count="7">
    <dataValidation type="list" allowBlank="1" showInputMessage="1" showErrorMessage="1" sqref="G5:G10 G14:G17 G31 G20:G27" xr:uid="{00000000-0002-0000-2700-000000000000}">
      <formula1>$C$104:$C$112</formula1>
    </dataValidation>
    <dataValidation type="list" allowBlank="1" showInputMessage="1" showErrorMessage="1" sqref="A5:A10 A31:A32 A14:A17 A20:A27" xr:uid="{00000000-0002-0000-2700-000001000000}">
      <formula1>$D$104:$D$106</formula1>
    </dataValidation>
    <dataValidation type="list" allowBlank="1" showInputMessage="1" showErrorMessage="1" sqref="B5:B10 B31 B14:B17 B20:B27" xr:uid="{00000000-0002-0000-2700-000002000000}">
      <formula1>$B$104:$B$108</formula1>
    </dataValidation>
    <dataValidation type="list" allowBlank="1" showInputMessage="1" showErrorMessage="1" sqref="E5:E10 E14:E17 E31 E20:E27" xr:uid="{00000000-0002-0000-2700-000003000000}">
      <formula1>$F$104:$F$118</formula1>
    </dataValidation>
    <dataValidation type="list" allowBlank="1" showInputMessage="1" showErrorMessage="1" sqref="F5:F10 F14:F17 F31 F20:F27" xr:uid="{00000000-0002-0000-2700-000004000000}">
      <formula1>$E$104:$E$118</formula1>
    </dataValidation>
    <dataValidation type="list" allowBlank="1" showInputMessage="1" showErrorMessage="1" sqref="C20:D27 C14:D17 C31:D31 C5:D10" xr:uid="{00000000-0002-0000-2700-000005000000}">
      <formula1>$A$104:$A$116</formula1>
    </dataValidation>
    <dataValidation type="list" allowBlank="1" showInputMessage="1" showErrorMessage="1" sqref="C32:D40" xr:uid="{00000000-0002-0000-2700-000006000000}">
      <formula1>#REF!</formula1>
    </dataValidation>
  </dataValidations>
  <printOptions horizontalCentered="1"/>
  <pageMargins left="0.25" right="0.25" top="0.75" bottom="0.75" header="0.3" footer="0.3"/>
  <pageSetup scale="10" orientation="landscape" r:id="rId1"/>
  <headerFooter>
    <oddHeader>&amp;C&amp;"Arial,Bold"&amp;18University of Illinois - Derivative Position Report as of June 30, 2011&amp;R&amp;D
&amp;T</oddHeader>
  </headerFooter>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21">
    <tabColor rgb="FFFF0000"/>
    <pageSetUpPr fitToPage="1"/>
  </sheetPr>
  <dimension ref="A1:X118"/>
  <sheetViews>
    <sheetView zoomScale="55" zoomScaleNormal="55" workbookViewId="0">
      <pane ySplit="2" topLeftCell="A3" activePane="bottomLeft" state="frozen"/>
      <selection activeCell="DD94" sqref="DD94"/>
      <selection pane="bottomLeft" activeCell="DD94" sqref="DD94"/>
    </sheetView>
  </sheetViews>
  <sheetFormatPr defaultColWidth="9.109375" defaultRowHeight="42" customHeight="1" x14ac:dyDescent="0.25"/>
  <cols>
    <col min="1" max="1" width="26.44140625" style="77" customWidth="1"/>
    <col min="2" max="2" width="20.44140625" style="77"/>
    <col min="3" max="3" width="20.44140625" style="77" customWidth="1"/>
    <col min="4" max="17" width="20.44140625" style="77"/>
    <col min="18" max="18" width="47.6640625" style="77" customWidth="1"/>
    <col min="19" max="19" width="27" style="77" customWidth="1"/>
    <col min="20" max="21" width="9.109375" style="77"/>
    <col min="22" max="23" width="9.109375" style="99"/>
    <col min="24" max="16384" width="9.109375" style="77"/>
  </cols>
  <sheetData>
    <row r="1" spans="1:24" ht="42" customHeight="1" thickBot="1" x14ac:dyDescent="0.3">
      <c r="A1" s="900" t="s">
        <v>189</v>
      </c>
      <c r="B1" s="900"/>
      <c r="C1" s="900"/>
      <c r="D1" s="900"/>
      <c r="E1" s="900"/>
      <c r="F1" s="900"/>
      <c r="G1" s="900"/>
      <c r="H1" s="900"/>
      <c r="I1" s="900"/>
      <c r="J1" s="900"/>
      <c r="K1" s="900"/>
      <c r="L1" s="900"/>
      <c r="M1" s="900"/>
      <c r="N1" s="900"/>
      <c r="O1" s="900"/>
      <c r="Q1" s="76"/>
      <c r="R1" s="76"/>
      <c r="S1" s="76"/>
      <c r="T1" s="76"/>
      <c r="U1" s="76"/>
      <c r="V1" s="76"/>
      <c r="W1" s="76"/>
      <c r="X1" s="76"/>
    </row>
    <row r="2" spans="1:24" ht="30" customHeight="1" x14ac:dyDescent="0.25">
      <c r="A2" s="224"/>
      <c r="B2" s="224"/>
      <c r="C2" s="171"/>
      <c r="D2" s="171"/>
      <c r="E2" s="171"/>
      <c r="F2" s="171"/>
      <c r="G2" s="171"/>
      <c r="H2" s="171"/>
      <c r="I2" s="171"/>
      <c r="J2" s="171"/>
      <c r="K2" s="171"/>
      <c r="L2" s="171"/>
      <c r="M2" s="171"/>
      <c r="N2" s="171"/>
      <c r="O2" s="171"/>
      <c r="Q2" s="76"/>
      <c r="R2" s="76"/>
      <c r="S2" s="76"/>
      <c r="T2" s="76"/>
      <c r="U2" s="76"/>
      <c r="V2" s="76"/>
      <c r="W2" s="76"/>
      <c r="X2" s="76"/>
    </row>
    <row r="3" spans="1:24" ht="42" customHeight="1" x14ac:dyDescent="0.25">
      <c r="A3" s="901" t="s">
        <v>204</v>
      </c>
      <c r="B3" s="902"/>
      <c r="C3" s="902"/>
      <c r="D3" s="902"/>
      <c r="E3" s="902"/>
      <c r="F3" s="902"/>
      <c r="G3" s="902"/>
      <c r="H3" s="902"/>
      <c r="I3" s="902"/>
      <c r="J3" s="902"/>
      <c r="K3" s="902"/>
      <c r="L3" s="902"/>
      <c r="M3" s="902"/>
      <c r="N3" s="902"/>
      <c r="O3" s="903"/>
      <c r="P3" s="75"/>
      <c r="Q3" s="76"/>
      <c r="R3" s="76"/>
      <c r="S3" s="76"/>
      <c r="T3" s="76"/>
      <c r="U3" s="76"/>
      <c r="V3" s="76"/>
      <c r="W3" s="76"/>
      <c r="X3" s="76"/>
    </row>
    <row r="4" spans="1:24" s="75" customFormat="1" ht="66.75" customHeight="1" x14ac:dyDescent="0.25">
      <c r="A4" s="176" t="s">
        <v>89</v>
      </c>
      <c r="B4" s="176" t="s">
        <v>90</v>
      </c>
      <c r="C4" s="177" t="s">
        <v>0</v>
      </c>
      <c r="D4" s="177" t="s">
        <v>124</v>
      </c>
      <c r="E4" s="176" t="s">
        <v>143</v>
      </c>
      <c r="F4" s="176" t="s">
        <v>144</v>
      </c>
      <c r="G4" s="176" t="s">
        <v>13</v>
      </c>
      <c r="H4" s="176" t="s">
        <v>88</v>
      </c>
      <c r="I4" s="176" t="s">
        <v>12</v>
      </c>
      <c r="J4" s="176" t="s">
        <v>158</v>
      </c>
      <c r="K4" s="176" t="s">
        <v>148</v>
      </c>
      <c r="L4" s="176" t="s">
        <v>153</v>
      </c>
      <c r="M4" s="176" t="s">
        <v>104</v>
      </c>
      <c r="N4" s="176" t="s">
        <v>154</v>
      </c>
      <c r="O4" s="176" t="s">
        <v>205</v>
      </c>
      <c r="P4" s="77"/>
      <c r="Q4" s="76"/>
      <c r="R4" s="76"/>
      <c r="S4" s="76"/>
      <c r="T4" s="76"/>
      <c r="U4" s="76"/>
      <c r="V4" s="76"/>
      <c r="W4" s="76"/>
      <c r="X4" s="76"/>
    </row>
    <row r="5" spans="1:24" ht="42" customHeight="1" x14ac:dyDescent="0.25">
      <c r="A5" s="82" t="s">
        <v>84</v>
      </c>
      <c r="B5" s="83" t="s">
        <v>3</v>
      </c>
      <c r="C5" s="83" t="s">
        <v>1</v>
      </c>
      <c r="D5" s="83" t="s">
        <v>1</v>
      </c>
      <c r="E5" s="84" t="s">
        <v>40</v>
      </c>
      <c r="F5" s="84" t="s">
        <v>42</v>
      </c>
      <c r="G5" s="83" t="s">
        <v>14</v>
      </c>
      <c r="H5" s="85">
        <v>44423</v>
      </c>
      <c r="I5" s="83" t="s">
        <v>23</v>
      </c>
      <c r="J5" s="173">
        <v>143.66499999999999</v>
      </c>
      <c r="K5" s="173">
        <v>125.28</v>
      </c>
      <c r="L5" s="173">
        <f>+N5-M5</f>
        <v>16.357061999999999</v>
      </c>
      <c r="M5" s="173">
        <v>0.95234700000000005</v>
      </c>
      <c r="N5" s="187">
        <v>17.309408999999999</v>
      </c>
      <c r="O5" s="187"/>
      <c r="V5" s="77"/>
      <c r="W5" s="77"/>
    </row>
    <row r="6" spans="1:24" ht="42" customHeight="1" x14ac:dyDescent="0.25">
      <c r="A6" s="90" t="s">
        <v>84</v>
      </c>
      <c r="B6" s="91" t="s">
        <v>3</v>
      </c>
      <c r="C6" s="91" t="s">
        <v>1</v>
      </c>
      <c r="D6" s="91" t="s">
        <v>1</v>
      </c>
      <c r="E6" s="92" t="s">
        <v>40</v>
      </c>
      <c r="F6" s="91" t="s">
        <v>42</v>
      </c>
      <c r="G6" s="91" t="s">
        <v>14</v>
      </c>
      <c r="H6" s="93">
        <v>44576</v>
      </c>
      <c r="I6" s="91" t="s">
        <v>24</v>
      </c>
      <c r="J6" s="174">
        <v>27.395</v>
      </c>
      <c r="K6" s="174">
        <v>27.2575</v>
      </c>
      <c r="L6" s="174">
        <f t="shared" ref="L6:L8" si="0">+N6-M6</f>
        <v>4.7748160000000004</v>
      </c>
      <c r="M6" s="174">
        <v>7.7226000000000003E-2</v>
      </c>
      <c r="N6" s="188">
        <v>4.852042</v>
      </c>
      <c r="O6" s="188"/>
      <c r="V6" s="77"/>
      <c r="W6" s="77"/>
    </row>
    <row r="7" spans="1:24" ht="42" customHeight="1" x14ac:dyDescent="0.25">
      <c r="A7" s="82" t="s">
        <v>84</v>
      </c>
      <c r="B7" s="83" t="s">
        <v>3</v>
      </c>
      <c r="C7" s="83" t="s">
        <v>194</v>
      </c>
      <c r="D7" s="83" t="s">
        <v>194</v>
      </c>
      <c r="E7" s="84" t="s">
        <v>31</v>
      </c>
      <c r="F7" s="84" t="s">
        <v>36</v>
      </c>
      <c r="G7" s="83" t="s">
        <v>14</v>
      </c>
      <c r="H7" s="85">
        <v>44576</v>
      </c>
      <c r="I7" s="83" t="s">
        <v>24</v>
      </c>
      <c r="J7" s="173">
        <v>26.85</v>
      </c>
      <c r="K7" s="173">
        <v>26.742000000000001</v>
      </c>
      <c r="L7" s="173">
        <f t="shared" si="0"/>
        <v>4.6835459999999998</v>
      </c>
      <c r="M7" s="173">
        <v>7.5767000000000001E-2</v>
      </c>
      <c r="N7" s="187">
        <v>4.7593129999999997</v>
      </c>
      <c r="O7" s="187"/>
      <c r="V7" s="77"/>
      <c r="W7" s="77"/>
    </row>
    <row r="8" spans="1:24" ht="42" customHeight="1" x14ac:dyDescent="0.25">
      <c r="A8" s="90" t="s">
        <v>84</v>
      </c>
      <c r="B8" s="91" t="s">
        <v>3</v>
      </c>
      <c r="C8" s="91" t="s">
        <v>11</v>
      </c>
      <c r="D8" s="91" t="s">
        <v>125</v>
      </c>
      <c r="E8" s="92" t="s">
        <v>39</v>
      </c>
      <c r="F8" s="91" t="s">
        <v>38</v>
      </c>
      <c r="G8" s="91" t="s">
        <v>14</v>
      </c>
      <c r="H8" s="93">
        <v>46296</v>
      </c>
      <c r="I8" s="91" t="s">
        <v>25</v>
      </c>
      <c r="J8" s="174">
        <v>40.875</v>
      </c>
      <c r="K8" s="174">
        <v>39.75</v>
      </c>
      <c r="L8" s="174">
        <f t="shared" si="0"/>
        <v>6.4605080000000008</v>
      </c>
      <c r="M8" s="174">
        <v>0.100495</v>
      </c>
      <c r="N8" s="188">
        <v>6.5610030000000004</v>
      </c>
      <c r="O8" s="188"/>
      <c r="V8" s="77"/>
      <c r="W8" s="77"/>
    </row>
    <row r="9" spans="1:24" s="97" customFormat="1" ht="42" customHeight="1" x14ac:dyDescent="0.25">
      <c r="A9" s="98"/>
      <c r="B9" s="111"/>
      <c r="C9" s="111"/>
      <c r="D9" s="111"/>
      <c r="E9" s="123"/>
      <c r="F9" s="111"/>
      <c r="G9" s="111"/>
      <c r="H9" s="114"/>
      <c r="I9" s="111"/>
      <c r="J9" s="189"/>
      <c r="K9" s="189"/>
      <c r="L9" s="189"/>
      <c r="M9" s="189"/>
      <c r="N9" s="190"/>
      <c r="O9" s="190"/>
    </row>
    <row r="10" spans="1:24" ht="42" customHeight="1" x14ac:dyDescent="0.25">
      <c r="A10" s="90"/>
      <c r="B10" s="91"/>
      <c r="C10" s="91"/>
      <c r="D10" s="91"/>
      <c r="E10" s="92"/>
      <c r="F10" s="91"/>
      <c r="G10" s="91"/>
      <c r="H10" s="93"/>
      <c r="I10" s="91"/>
      <c r="J10" s="174"/>
      <c r="K10" s="174"/>
      <c r="L10" s="174"/>
      <c r="M10" s="174"/>
      <c r="N10" s="188"/>
      <c r="O10" s="188"/>
      <c r="V10" s="77"/>
      <c r="W10" s="77"/>
    </row>
    <row r="11" spans="1:24" s="97" customFormat="1" ht="42" customHeight="1" x14ac:dyDescent="0.25">
      <c r="A11" s="901" t="s">
        <v>203</v>
      </c>
      <c r="B11" s="902"/>
      <c r="C11" s="902"/>
      <c r="D11" s="902"/>
      <c r="E11" s="902"/>
      <c r="F11" s="902"/>
      <c r="G11" s="902"/>
      <c r="H11" s="902"/>
      <c r="I11" s="902"/>
      <c r="J11" s="902"/>
      <c r="K11" s="902"/>
      <c r="L11" s="902"/>
      <c r="M11" s="902"/>
      <c r="N11" s="902"/>
      <c r="O11" s="903"/>
    </row>
    <row r="12" spans="1:24" s="97" customFormat="1" ht="74.25" customHeight="1" x14ac:dyDescent="0.25">
      <c r="A12" s="176" t="s">
        <v>89</v>
      </c>
      <c r="B12" s="176" t="s">
        <v>90</v>
      </c>
      <c r="C12" s="177" t="s">
        <v>0</v>
      </c>
      <c r="D12" s="180" t="s">
        <v>124</v>
      </c>
      <c r="E12" s="176" t="s">
        <v>143</v>
      </c>
      <c r="F12" s="176" t="s">
        <v>144</v>
      </c>
      <c r="G12" s="176" t="s">
        <v>13</v>
      </c>
      <c r="H12" s="176" t="s">
        <v>88</v>
      </c>
      <c r="I12" s="176" t="s">
        <v>12</v>
      </c>
      <c r="J12" s="176" t="s">
        <v>150</v>
      </c>
      <c r="K12" s="176" t="s">
        <v>151</v>
      </c>
      <c r="L12" s="176" t="s">
        <v>157</v>
      </c>
      <c r="M12" s="176" t="s">
        <v>149</v>
      </c>
      <c r="N12" s="176" t="s">
        <v>154</v>
      </c>
      <c r="O12" s="176" t="s">
        <v>205</v>
      </c>
    </row>
    <row r="13" spans="1:24" s="178" customFormat="1" ht="24" customHeight="1" x14ac:dyDescent="0.25">
      <c r="A13" s="184" t="s">
        <v>197</v>
      </c>
      <c r="B13" s="184"/>
      <c r="C13" s="185"/>
      <c r="D13" s="185"/>
      <c r="E13" s="184"/>
      <c r="F13" s="184"/>
      <c r="G13" s="184"/>
      <c r="H13" s="184"/>
      <c r="I13" s="184"/>
      <c r="J13" s="184"/>
      <c r="K13" s="184"/>
      <c r="L13" s="184"/>
      <c r="M13" s="184"/>
      <c r="N13" s="184"/>
      <c r="O13" s="186"/>
    </row>
    <row r="14" spans="1:24" ht="42" customHeight="1" x14ac:dyDescent="0.25">
      <c r="A14" s="90" t="s">
        <v>84</v>
      </c>
      <c r="B14" s="91" t="s">
        <v>7</v>
      </c>
      <c r="C14" s="91" t="s">
        <v>4</v>
      </c>
      <c r="D14" s="91" t="s">
        <v>126</v>
      </c>
      <c r="E14" s="92" t="s">
        <v>30</v>
      </c>
      <c r="F14" s="91" t="s">
        <v>142</v>
      </c>
      <c r="G14" s="91" t="s">
        <v>22</v>
      </c>
      <c r="H14" s="93">
        <v>41090</v>
      </c>
      <c r="I14" s="91" t="s">
        <v>176</v>
      </c>
      <c r="J14" s="277">
        <v>33.978496646000004</v>
      </c>
      <c r="K14" s="277">
        <v>8.2689055749999998</v>
      </c>
      <c r="L14" s="277">
        <v>25.709591070999998</v>
      </c>
      <c r="M14" s="188"/>
      <c r="N14" s="188"/>
      <c r="O14" s="188"/>
      <c r="V14" s="77"/>
      <c r="W14" s="77"/>
    </row>
    <row r="15" spans="1:24" ht="42" customHeight="1" x14ac:dyDescent="0.25">
      <c r="A15" s="82" t="s">
        <v>8</v>
      </c>
      <c r="B15" s="83" t="s">
        <v>7</v>
      </c>
      <c r="C15" s="83" t="s">
        <v>4</v>
      </c>
      <c r="D15" s="83" t="s">
        <v>126</v>
      </c>
      <c r="E15" s="84" t="s">
        <v>30</v>
      </c>
      <c r="F15" s="84" t="s">
        <v>142</v>
      </c>
      <c r="G15" s="83" t="s">
        <v>22</v>
      </c>
      <c r="H15" s="85">
        <v>41455</v>
      </c>
      <c r="I15" s="83" t="s">
        <v>131</v>
      </c>
      <c r="J15" s="279">
        <v>25.697817854</v>
      </c>
      <c r="K15" s="88"/>
      <c r="L15" s="279">
        <v>25.697817854</v>
      </c>
      <c r="M15" s="187"/>
      <c r="N15" s="187"/>
      <c r="O15" s="187"/>
      <c r="V15" s="77"/>
      <c r="W15" s="77"/>
    </row>
    <row r="16" spans="1:24" ht="42" customHeight="1" x14ac:dyDescent="0.25">
      <c r="A16" s="90" t="s">
        <v>8</v>
      </c>
      <c r="B16" s="91" t="s">
        <v>7</v>
      </c>
      <c r="C16" s="91" t="s">
        <v>4</v>
      </c>
      <c r="D16" s="91" t="s">
        <v>126</v>
      </c>
      <c r="E16" s="92" t="s">
        <v>30</v>
      </c>
      <c r="F16" s="91" t="s">
        <v>142</v>
      </c>
      <c r="G16" s="91" t="s">
        <v>22</v>
      </c>
      <c r="H16" s="93">
        <v>41820</v>
      </c>
      <c r="I16" s="91" t="s">
        <v>132</v>
      </c>
      <c r="J16" s="277">
        <v>7.8284772139999896</v>
      </c>
      <c r="K16" s="96"/>
      <c r="L16" s="277">
        <v>7.8284772139999896</v>
      </c>
      <c r="M16" s="188"/>
      <c r="N16" s="188"/>
      <c r="O16" s="188"/>
      <c r="V16" s="77"/>
      <c r="W16" s="77"/>
    </row>
    <row r="17" spans="1:23" ht="42" customHeight="1" x14ac:dyDescent="0.25">
      <c r="A17" s="82"/>
      <c r="B17" s="83"/>
      <c r="C17" s="83"/>
      <c r="D17" s="83"/>
      <c r="E17" s="84"/>
      <c r="F17" s="84"/>
      <c r="G17" s="83"/>
      <c r="H17" s="85"/>
      <c r="I17" s="83" t="s">
        <v>133</v>
      </c>
      <c r="J17" s="279">
        <v>0.78121852600000097</v>
      </c>
      <c r="K17" s="278"/>
      <c r="L17" s="279">
        <v>0.78121852600000097</v>
      </c>
      <c r="M17" s="187"/>
      <c r="N17" s="187"/>
      <c r="O17" s="187"/>
      <c r="V17" s="77"/>
      <c r="W17" s="77"/>
    </row>
    <row r="18" spans="1:23" ht="42" customHeight="1" x14ac:dyDescent="0.25">
      <c r="A18" s="181"/>
      <c r="B18" s="181"/>
      <c r="C18" s="181"/>
      <c r="D18" s="181"/>
      <c r="E18" s="182"/>
      <c r="F18" s="181"/>
      <c r="G18" s="181"/>
      <c r="H18" s="183" t="s">
        <v>206</v>
      </c>
      <c r="I18" s="181"/>
      <c r="J18" s="192">
        <f>SUM(J14:J17)</f>
        <v>68.286010239999996</v>
      </c>
      <c r="K18" s="192">
        <f>SUM(K14:K17)</f>
        <v>8.2689055749999998</v>
      </c>
      <c r="L18" s="192">
        <f>SUM(L14:L17)</f>
        <v>60.017104664999991</v>
      </c>
      <c r="M18" s="280">
        <f>+L18-N18</f>
        <v>44.17825766499999</v>
      </c>
      <c r="N18" s="283">
        <f>15838847/1000000</f>
        <v>15.838846999999999</v>
      </c>
      <c r="O18" s="192">
        <v>35</v>
      </c>
      <c r="V18" s="77"/>
      <c r="W18" s="77"/>
    </row>
    <row r="19" spans="1:23" s="178" customFormat="1" ht="24" customHeight="1" x14ac:dyDescent="0.25">
      <c r="A19" s="184" t="s">
        <v>198</v>
      </c>
      <c r="B19" s="184"/>
      <c r="C19" s="185"/>
      <c r="D19" s="185"/>
      <c r="E19" s="184"/>
      <c r="F19" s="184"/>
      <c r="G19" s="184"/>
      <c r="H19" s="184"/>
      <c r="I19" s="184"/>
      <c r="J19" s="184"/>
      <c r="K19" s="184"/>
      <c r="L19" s="184"/>
      <c r="M19" s="184"/>
      <c r="N19" s="184"/>
      <c r="O19" s="186"/>
    </row>
    <row r="20" spans="1:23" s="97" customFormat="1" ht="58.5" customHeight="1" x14ac:dyDescent="0.25">
      <c r="A20" s="82" t="s">
        <v>8</v>
      </c>
      <c r="B20" s="83" t="s">
        <v>7</v>
      </c>
      <c r="C20" s="83" t="s">
        <v>27</v>
      </c>
      <c r="D20" s="83" t="s">
        <v>127</v>
      </c>
      <c r="E20" s="84" t="s">
        <v>33</v>
      </c>
      <c r="F20" s="84" t="s">
        <v>45</v>
      </c>
      <c r="G20" s="83" t="s">
        <v>22</v>
      </c>
      <c r="H20" s="85">
        <v>41090</v>
      </c>
      <c r="I20" s="83" t="s">
        <v>135</v>
      </c>
      <c r="J20" s="281">
        <v>6.571148</v>
      </c>
      <c r="K20" s="276">
        <v>3.3619302999999996</v>
      </c>
      <c r="L20" s="276">
        <v>3.2092177000000004</v>
      </c>
      <c r="M20" s="187"/>
      <c r="N20" s="187"/>
      <c r="O20" s="187"/>
    </row>
    <row r="21" spans="1:23" ht="42" customHeight="1" x14ac:dyDescent="0.25">
      <c r="A21" s="90" t="s">
        <v>8</v>
      </c>
      <c r="B21" s="91" t="s">
        <v>7</v>
      </c>
      <c r="C21" s="91" t="s">
        <v>92</v>
      </c>
      <c r="D21" s="91" t="s">
        <v>128</v>
      </c>
      <c r="E21" s="92" t="s">
        <v>33</v>
      </c>
      <c r="F21" s="91" t="s">
        <v>44</v>
      </c>
      <c r="G21" s="91" t="s">
        <v>22</v>
      </c>
      <c r="H21" s="93">
        <v>41090</v>
      </c>
      <c r="I21" s="91" t="s">
        <v>136</v>
      </c>
      <c r="J21" s="282">
        <v>0.25278499999999998</v>
      </c>
      <c r="K21" s="273">
        <v>0.23661763999999996</v>
      </c>
      <c r="L21" s="273">
        <v>1.6167360000000019E-2</v>
      </c>
      <c r="M21" s="188"/>
      <c r="N21" s="188"/>
      <c r="O21" s="188"/>
      <c r="V21" s="77"/>
      <c r="W21" s="77"/>
    </row>
    <row r="22" spans="1:23" s="97" customFormat="1" ht="51" customHeight="1" x14ac:dyDescent="0.25">
      <c r="A22" s="82" t="s">
        <v>8</v>
      </c>
      <c r="B22" s="83" t="s">
        <v>7</v>
      </c>
      <c r="C22" s="83" t="s">
        <v>27</v>
      </c>
      <c r="D22" s="83" t="s">
        <v>127</v>
      </c>
      <c r="E22" s="84" t="s">
        <v>33</v>
      </c>
      <c r="F22" s="84" t="s">
        <v>45</v>
      </c>
      <c r="G22" s="83" t="s">
        <v>22</v>
      </c>
      <c r="H22" s="85">
        <v>41455</v>
      </c>
      <c r="I22" s="83" t="s">
        <v>137</v>
      </c>
      <c r="J22" s="281">
        <v>5.2490870000000003</v>
      </c>
      <c r="K22" s="275"/>
      <c r="L22" s="276">
        <v>5.2490870000000003</v>
      </c>
      <c r="M22" s="187"/>
      <c r="N22" s="187"/>
      <c r="O22" s="187"/>
    </row>
    <row r="23" spans="1:23" ht="42" customHeight="1" x14ac:dyDescent="0.25">
      <c r="A23" s="90" t="s">
        <v>84</v>
      </c>
      <c r="B23" s="91" t="s">
        <v>7</v>
      </c>
      <c r="C23" s="91" t="s">
        <v>92</v>
      </c>
      <c r="D23" s="91" t="s">
        <v>128</v>
      </c>
      <c r="E23" s="92" t="s">
        <v>33</v>
      </c>
      <c r="F23" s="91" t="s">
        <v>44</v>
      </c>
      <c r="G23" s="91" t="s">
        <v>22</v>
      </c>
      <c r="H23" s="93">
        <v>41455</v>
      </c>
      <c r="I23" s="91" t="s">
        <v>137</v>
      </c>
      <c r="J23" s="282">
        <v>2.6345E-2</v>
      </c>
      <c r="K23" s="285"/>
      <c r="L23" s="273">
        <v>2.6345E-2</v>
      </c>
      <c r="M23" s="188"/>
      <c r="N23" s="188"/>
      <c r="O23" s="188"/>
      <c r="V23" s="77"/>
      <c r="W23" s="77"/>
    </row>
    <row r="24" spans="1:23" s="97" customFormat="1" ht="55.5" customHeight="1" x14ac:dyDescent="0.25">
      <c r="A24" s="82" t="s">
        <v>84</v>
      </c>
      <c r="B24" s="83" t="s">
        <v>7</v>
      </c>
      <c r="C24" s="83" t="s">
        <v>27</v>
      </c>
      <c r="D24" s="83" t="s">
        <v>127</v>
      </c>
      <c r="E24" s="84" t="s">
        <v>33</v>
      </c>
      <c r="F24" s="84" t="s">
        <v>45</v>
      </c>
      <c r="G24" s="83" t="s">
        <v>22</v>
      </c>
      <c r="H24" s="85">
        <v>41820</v>
      </c>
      <c r="I24" s="83" t="s">
        <v>138</v>
      </c>
      <c r="J24" s="281">
        <v>0.92112799999999995</v>
      </c>
      <c r="K24" s="284"/>
      <c r="L24" s="276">
        <v>0.92112799999999995</v>
      </c>
      <c r="M24" s="187"/>
      <c r="N24" s="187"/>
      <c r="O24" s="187"/>
    </row>
    <row r="25" spans="1:23" ht="42" customHeight="1" x14ac:dyDescent="0.25">
      <c r="A25" s="90" t="s">
        <v>8</v>
      </c>
      <c r="B25" s="91" t="s">
        <v>7</v>
      </c>
      <c r="C25" s="91" t="s">
        <v>92</v>
      </c>
      <c r="D25" s="91" t="s">
        <v>128</v>
      </c>
      <c r="E25" s="92" t="s">
        <v>33</v>
      </c>
      <c r="F25" s="91" t="s">
        <v>44</v>
      </c>
      <c r="G25" s="91" t="s">
        <v>22</v>
      </c>
      <c r="H25" s="93">
        <v>41820</v>
      </c>
      <c r="I25" s="91" t="s">
        <v>138</v>
      </c>
      <c r="J25" s="282">
        <v>0.21435199999999999</v>
      </c>
      <c r="K25" s="285"/>
      <c r="L25" s="273">
        <v>0.21435199999999999</v>
      </c>
      <c r="M25" s="188"/>
      <c r="N25" s="188"/>
      <c r="O25" s="188"/>
      <c r="V25" s="77"/>
      <c r="W25" s="77"/>
    </row>
    <row r="26" spans="1:23" s="97" customFormat="1" ht="42" customHeight="1" x14ac:dyDescent="0.25">
      <c r="A26" s="82" t="s">
        <v>8</v>
      </c>
      <c r="B26" s="83" t="s">
        <v>7</v>
      </c>
      <c r="C26" s="83"/>
      <c r="D26" s="83"/>
      <c r="E26" s="84"/>
      <c r="F26" s="84"/>
      <c r="G26" s="83"/>
      <c r="H26" s="85"/>
      <c r="I26" s="83" t="s">
        <v>139</v>
      </c>
      <c r="J26" s="187"/>
      <c r="K26" s="284"/>
      <c r="L26" s="276">
        <v>0</v>
      </c>
      <c r="M26" s="187"/>
      <c r="N26" s="187"/>
      <c r="O26" s="187"/>
    </row>
    <row r="27" spans="1:23" ht="42" customHeight="1" thickBot="1" x14ac:dyDescent="0.3">
      <c r="A27" s="90" t="s">
        <v>8</v>
      </c>
      <c r="B27" s="91" t="s">
        <v>7</v>
      </c>
      <c r="C27" s="91"/>
      <c r="D27" s="91"/>
      <c r="E27" s="92"/>
      <c r="F27" s="91"/>
      <c r="G27" s="91"/>
      <c r="H27" s="93"/>
      <c r="I27" s="91" t="s">
        <v>139</v>
      </c>
      <c r="J27" s="193"/>
      <c r="K27" s="286"/>
      <c r="L27" s="273">
        <v>0</v>
      </c>
      <c r="M27" s="193"/>
      <c r="N27" s="193"/>
      <c r="O27" s="193"/>
      <c r="V27" s="77"/>
      <c r="W27" s="77"/>
    </row>
    <row r="28" spans="1:23" s="97" customFormat="1" ht="42" customHeight="1" thickBot="1" x14ac:dyDescent="0.3">
      <c r="A28" s="181"/>
      <c r="B28" s="181"/>
      <c r="C28" s="181"/>
      <c r="D28" s="181"/>
      <c r="E28" s="182"/>
      <c r="F28" s="181"/>
      <c r="G28" s="181"/>
      <c r="H28" s="183" t="s">
        <v>206</v>
      </c>
      <c r="I28" s="181"/>
      <c r="J28" s="192">
        <f>SUM(J20:J27)</f>
        <v>13.234844999999998</v>
      </c>
      <c r="K28" s="192">
        <f>SUM(K20:K27)</f>
        <v>3.5985479399999996</v>
      </c>
      <c r="L28" s="192">
        <f>SUM(L20:L27)</f>
        <v>9.6362970599999986</v>
      </c>
      <c r="M28" s="192">
        <f>+L28-N28</f>
        <v>9.8778038039999991</v>
      </c>
      <c r="N28" s="274">
        <v>-0.24150674399999997</v>
      </c>
      <c r="O28" s="192"/>
    </row>
    <row r="29" spans="1:23" ht="48" customHeight="1" x14ac:dyDescent="0.25">
      <c r="A29" s="901" t="s">
        <v>202</v>
      </c>
      <c r="B29" s="902"/>
      <c r="C29" s="902"/>
      <c r="D29" s="902"/>
      <c r="E29" s="902"/>
      <c r="F29" s="902"/>
      <c r="G29" s="902"/>
      <c r="H29" s="902"/>
      <c r="I29" s="902"/>
      <c r="J29" s="902"/>
      <c r="K29" s="902"/>
      <c r="L29" s="902"/>
      <c r="M29" s="902"/>
      <c r="N29" s="902"/>
      <c r="O29" s="903"/>
      <c r="V29" s="77"/>
      <c r="W29" s="77"/>
    </row>
    <row r="30" spans="1:23" s="97" customFormat="1" ht="66" customHeight="1" x14ac:dyDescent="0.25">
      <c r="A30" s="176" t="s">
        <v>89</v>
      </c>
      <c r="B30" s="176" t="s">
        <v>90</v>
      </c>
      <c r="C30" s="177" t="s">
        <v>0</v>
      </c>
      <c r="D30" s="177" t="s">
        <v>124</v>
      </c>
      <c r="E30" s="176" t="s">
        <v>143</v>
      </c>
      <c r="F30" s="176" t="s">
        <v>144</v>
      </c>
      <c r="G30" s="176" t="s">
        <v>13</v>
      </c>
      <c r="H30" s="176" t="s">
        <v>88</v>
      </c>
      <c r="I30" s="176" t="s">
        <v>12</v>
      </c>
      <c r="J30" s="176" t="s">
        <v>200</v>
      </c>
      <c r="K30" s="176" t="s">
        <v>199</v>
      </c>
      <c r="L30" s="176" t="s">
        <v>201</v>
      </c>
      <c r="M30" s="176" t="s">
        <v>149</v>
      </c>
      <c r="N30" s="176" t="s">
        <v>154</v>
      </c>
      <c r="O30" s="176" t="s">
        <v>205</v>
      </c>
    </row>
    <row r="31" spans="1:23" s="97" customFormat="1" ht="42" customHeight="1" x14ac:dyDescent="0.25">
      <c r="A31" s="90" t="s">
        <v>84</v>
      </c>
      <c r="B31" s="91" t="s">
        <v>9</v>
      </c>
      <c r="C31" s="91" t="s">
        <v>183</v>
      </c>
      <c r="D31" s="91" t="s">
        <v>142</v>
      </c>
      <c r="E31" s="92" t="s">
        <v>142</v>
      </c>
      <c r="F31" s="91" t="s">
        <v>142</v>
      </c>
      <c r="G31" s="91" t="s">
        <v>22</v>
      </c>
      <c r="H31" s="93">
        <v>41449</v>
      </c>
      <c r="I31" s="91" t="s">
        <v>172</v>
      </c>
      <c r="J31" s="179">
        <v>7.0349999999999996E-2</v>
      </c>
      <c r="K31" s="179">
        <v>0</v>
      </c>
      <c r="L31" s="179">
        <v>7.0349999999999996E-2</v>
      </c>
      <c r="M31" s="272">
        <f>1.386*50000/1000000</f>
        <v>6.93E-2</v>
      </c>
      <c r="N31" s="179">
        <f>+L31-M31</f>
        <v>1.0499999999999954E-3</v>
      </c>
      <c r="O31" s="179">
        <v>0</v>
      </c>
      <c r="V31" s="100"/>
      <c r="W31" s="100"/>
    </row>
    <row r="32" spans="1:23" ht="42" customHeight="1" x14ac:dyDescent="0.25">
      <c r="A32" s="98"/>
      <c r="J32" s="144"/>
      <c r="K32" s="144"/>
      <c r="L32" s="144"/>
      <c r="M32" s="144"/>
      <c r="N32" s="144"/>
      <c r="O32" s="144"/>
      <c r="R32" s="76"/>
      <c r="S32" s="76"/>
      <c r="T32" s="76"/>
      <c r="U32" s="76"/>
      <c r="V32" s="123"/>
      <c r="W32" s="123"/>
    </row>
    <row r="33" spans="1:23" ht="42" customHeight="1" x14ac:dyDescent="0.25">
      <c r="R33" s="76"/>
      <c r="S33" s="76"/>
      <c r="T33" s="76"/>
      <c r="U33" s="76"/>
      <c r="V33" s="123"/>
      <c r="W33" s="123"/>
    </row>
    <row r="41" spans="1:23" s="198" customFormat="1" ht="42" customHeight="1" thickBot="1" x14ac:dyDescent="0.3">
      <c r="A41" s="904" t="s">
        <v>207</v>
      </c>
      <c r="B41" s="904"/>
      <c r="C41" s="904"/>
      <c r="D41" s="904"/>
      <c r="E41" s="904"/>
      <c r="F41" s="904"/>
      <c r="G41" s="904"/>
      <c r="H41" s="904"/>
      <c r="I41" s="904"/>
      <c r="J41" s="904"/>
      <c r="K41" s="904"/>
      <c r="L41" s="904"/>
      <c r="M41" s="904"/>
      <c r="N41" s="904"/>
      <c r="O41" s="904"/>
      <c r="V41" s="199"/>
      <c r="W41" s="199"/>
    </row>
    <row r="42" spans="1:23" ht="42" customHeight="1" x14ac:dyDescent="0.3">
      <c r="A42" s="905" t="s">
        <v>140</v>
      </c>
      <c r="B42" s="905"/>
      <c r="C42" s="905"/>
      <c r="D42" s="905"/>
      <c r="E42" s="905"/>
      <c r="F42" s="905"/>
    </row>
    <row r="43" spans="1:23" ht="42" customHeight="1" x14ac:dyDescent="0.3">
      <c r="A43" s="202" t="s">
        <v>0</v>
      </c>
      <c r="B43" s="203" t="s">
        <v>108</v>
      </c>
      <c r="C43" s="203" t="s">
        <v>109</v>
      </c>
      <c r="D43" s="202" t="s">
        <v>173</v>
      </c>
      <c r="E43" s="202" t="s">
        <v>106</v>
      </c>
      <c r="F43" s="202" t="s">
        <v>110</v>
      </c>
      <c r="H43" s="203" t="s">
        <v>208</v>
      </c>
    </row>
    <row r="44" spans="1:23" ht="9" customHeight="1" x14ac:dyDescent="0.25">
      <c r="A44" s="168"/>
      <c r="B44" s="168"/>
      <c r="C44" s="168"/>
      <c r="D44" s="168"/>
      <c r="E44" s="168"/>
      <c r="F44" s="168"/>
    </row>
    <row r="45" spans="1:23" ht="42" customHeight="1" x14ac:dyDescent="0.25">
      <c r="A45" s="211" t="s">
        <v>27</v>
      </c>
      <c r="B45" s="204">
        <v>0</v>
      </c>
      <c r="C45" s="204">
        <v>11.844329760000001</v>
      </c>
      <c r="D45" s="204">
        <v>0</v>
      </c>
      <c r="E45" s="204">
        <f>SUM(B45:D45)</f>
        <v>11.844329760000001</v>
      </c>
      <c r="F45" s="205">
        <f>+E45/$E$52</f>
        <v>3.9125896820043859E-2</v>
      </c>
      <c r="H45" s="144">
        <f>+N28</f>
        <v>-0.24150674399999997</v>
      </c>
    </row>
    <row r="46" spans="1:23" ht="42" customHeight="1" x14ac:dyDescent="0.25">
      <c r="A46" s="211" t="s">
        <v>92</v>
      </c>
      <c r="B46" s="204">
        <v>0</v>
      </c>
      <c r="C46" s="204">
        <v>0.41141679999999997</v>
      </c>
      <c r="D46" s="204">
        <v>0</v>
      </c>
      <c r="E46" s="204">
        <f t="shared" ref="E46:E51" si="1">SUM(B46:D46)</f>
        <v>0.41141679999999997</v>
      </c>
      <c r="F46" s="205">
        <f t="shared" ref="F46:F51" si="2">+E46/$E$52</f>
        <v>1.3590512585350898E-3</v>
      </c>
    </row>
    <row r="47" spans="1:23" ht="42" customHeight="1" x14ac:dyDescent="0.25">
      <c r="A47" s="168" t="s">
        <v>2</v>
      </c>
      <c r="B47" s="204">
        <v>26.7425</v>
      </c>
      <c r="C47" s="204">
        <v>0</v>
      </c>
      <c r="D47" s="204">
        <v>0</v>
      </c>
      <c r="E47" s="204">
        <f t="shared" si="1"/>
        <v>26.7425</v>
      </c>
      <c r="F47" s="205">
        <f t="shared" si="2"/>
        <v>8.8339679569173254E-2</v>
      </c>
      <c r="H47" s="144">
        <f>+N7</f>
        <v>4.7593129999999997</v>
      </c>
    </row>
    <row r="48" spans="1:23" ht="42" customHeight="1" x14ac:dyDescent="0.25">
      <c r="A48" s="211" t="s">
        <v>11</v>
      </c>
      <c r="B48" s="204">
        <v>40.875</v>
      </c>
      <c r="C48" s="204">
        <v>0</v>
      </c>
      <c r="D48" s="204">
        <v>0</v>
      </c>
      <c r="E48" s="204">
        <f t="shared" si="1"/>
        <v>40.875</v>
      </c>
      <c r="F48" s="205">
        <f t="shared" si="2"/>
        <v>0.13502419004917104</v>
      </c>
      <c r="H48" s="144">
        <f>+N8</f>
        <v>6.5610030000000004</v>
      </c>
    </row>
    <row r="49" spans="1:8" ht="42" customHeight="1" x14ac:dyDescent="0.25">
      <c r="A49" s="168" t="s">
        <v>1</v>
      </c>
      <c r="B49" s="204">
        <v>159.3775</v>
      </c>
      <c r="C49" s="204">
        <v>0</v>
      </c>
      <c r="D49" s="204">
        <v>0</v>
      </c>
      <c r="E49" s="204">
        <f t="shared" si="1"/>
        <v>159.3775</v>
      </c>
      <c r="F49" s="205">
        <f t="shared" si="2"/>
        <v>0.52647872414829988</v>
      </c>
      <c r="H49" s="144">
        <f>+N5+N6</f>
        <v>22.161451</v>
      </c>
    </row>
    <row r="50" spans="1:8" ht="42" customHeight="1" x14ac:dyDescent="0.25">
      <c r="A50" s="168" t="s">
        <v>4</v>
      </c>
      <c r="B50" s="204">
        <v>0</v>
      </c>
      <c r="C50" s="204">
        <v>63.402437535000054</v>
      </c>
      <c r="D50" s="204">
        <v>0</v>
      </c>
      <c r="E50" s="204">
        <f t="shared" si="1"/>
        <v>63.402437535000054</v>
      </c>
      <c r="F50" s="205">
        <f t="shared" si="2"/>
        <v>0.20944006789740779</v>
      </c>
      <c r="H50" s="144">
        <f>+N18</f>
        <v>15.838846999999999</v>
      </c>
    </row>
    <row r="51" spans="1:8" ht="42" customHeight="1" x14ac:dyDescent="0.4">
      <c r="A51" s="168" t="s">
        <v>183</v>
      </c>
      <c r="B51" s="206">
        <v>0</v>
      </c>
      <c r="C51" s="206">
        <v>0</v>
      </c>
      <c r="D51" s="206">
        <v>7.0349999999999996E-2</v>
      </c>
      <c r="E51" s="206">
        <f t="shared" si="1"/>
        <v>7.0349999999999996E-2</v>
      </c>
      <c r="F51" s="207">
        <f t="shared" si="2"/>
        <v>2.32390257369032E-4</v>
      </c>
      <c r="H51" s="212">
        <f>+N31</f>
        <v>1.0499999999999954E-3</v>
      </c>
    </row>
    <row r="52" spans="1:8" ht="42" customHeight="1" x14ac:dyDescent="0.4">
      <c r="A52" s="168" t="s">
        <v>106</v>
      </c>
      <c r="B52" s="209">
        <v>226.995</v>
      </c>
      <c r="C52" s="209">
        <f>SUM(C45:C51)</f>
        <v>75.658184095000053</v>
      </c>
      <c r="D52" s="209">
        <f t="shared" ref="D52:H52" si="3">SUM(D45:D51)</f>
        <v>7.0349999999999996E-2</v>
      </c>
      <c r="E52" s="209">
        <f t="shared" si="3"/>
        <v>302.72353409500005</v>
      </c>
      <c r="F52" s="210">
        <f t="shared" si="3"/>
        <v>0.99999999999999989</v>
      </c>
      <c r="H52" s="208">
        <f t="shared" si="3"/>
        <v>49.080157256</v>
      </c>
    </row>
    <row r="53" spans="1:8" ht="42" customHeight="1" x14ac:dyDescent="0.25">
      <c r="A53" s="168"/>
      <c r="B53" s="168"/>
      <c r="C53" s="168"/>
      <c r="D53" s="168"/>
      <c r="E53" s="168"/>
      <c r="F53" s="168"/>
    </row>
    <row r="100" spans="1:6" ht="42" customHeight="1" thickBot="1" x14ac:dyDescent="0.3"/>
    <row r="101" spans="1:6" ht="42" customHeight="1" x14ac:dyDescent="0.25">
      <c r="A101" s="894" t="s">
        <v>195</v>
      </c>
      <c r="B101" s="895"/>
      <c r="C101" s="895"/>
      <c r="D101" s="895"/>
      <c r="E101" s="895"/>
      <c r="F101" s="896"/>
    </row>
    <row r="102" spans="1:6" ht="42" customHeight="1" thickBot="1" x14ac:dyDescent="0.3">
      <c r="A102" s="897"/>
      <c r="B102" s="898"/>
      <c r="C102" s="898"/>
      <c r="D102" s="898"/>
      <c r="E102" s="898"/>
      <c r="F102" s="899"/>
    </row>
    <row r="103" spans="1:6" ht="42" customHeight="1" x14ac:dyDescent="0.25">
      <c r="A103" s="162" t="s">
        <v>5</v>
      </c>
      <c r="B103" s="161" t="s">
        <v>6</v>
      </c>
      <c r="C103" s="161" t="s">
        <v>13</v>
      </c>
      <c r="D103" s="161" t="s">
        <v>82</v>
      </c>
      <c r="E103" s="161" t="s">
        <v>115</v>
      </c>
      <c r="F103" s="163" t="s">
        <v>116</v>
      </c>
    </row>
    <row r="104" spans="1:6" ht="55.5" customHeight="1" x14ac:dyDescent="0.25">
      <c r="A104" s="104" t="s">
        <v>91</v>
      </c>
      <c r="B104" s="106" t="s">
        <v>190</v>
      </c>
      <c r="C104" s="106" t="s">
        <v>18</v>
      </c>
      <c r="D104" s="105" t="s">
        <v>8</v>
      </c>
      <c r="E104" s="106" t="s">
        <v>36</v>
      </c>
      <c r="F104" s="107" t="s">
        <v>29</v>
      </c>
    </row>
    <row r="105" spans="1:6" ht="60" customHeight="1" x14ac:dyDescent="0.25">
      <c r="A105" s="104" t="s">
        <v>27</v>
      </c>
      <c r="B105" s="106" t="s">
        <v>192</v>
      </c>
      <c r="C105" s="106" t="s">
        <v>15</v>
      </c>
      <c r="D105" s="105" t="s">
        <v>84</v>
      </c>
      <c r="E105" s="106" t="s">
        <v>35</v>
      </c>
      <c r="F105" s="107" t="s">
        <v>28</v>
      </c>
    </row>
    <row r="106" spans="1:6" ht="56.25" customHeight="1" x14ac:dyDescent="0.25">
      <c r="A106" s="117" t="s">
        <v>125</v>
      </c>
      <c r="B106" s="106" t="s">
        <v>191</v>
      </c>
      <c r="C106" s="106" t="s">
        <v>16</v>
      </c>
      <c r="D106" s="105"/>
      <c r="E106" s="106" t="s">
        <v>46</v>
      </c>
      <c r="F106" s="107" t="s">
        <v>34</v>
      </c>
    </row>
    <row r="107" spans="1:6" ht="42" customHeight="1" x14ac:dyDescent="0.25">
      <c r="A107" s="117" t="s">
        <v>128</v>
      </c>
      <c r="B107" s="106" t="s">
        <v>193</v>
      </c>
      <c r="C107" s="106" t="s">
        <v>20</v>
      </c>
      <c r="D107" s="105"/>
      <c r="E107" s="106" t="s">
        <v>142</v>
      </c>
      <c r="F107" s="107" t="s">
        <v>142</v>
      </c>
    </row>
    <row r="108" spans="1:6" ht="42" customHeight="1" x14ac:dyDescent="0.25">
      <c r="A108" s="104" t="s">
        <v>92</v>
      </c>
      <c r="B108" s="106"/>
      <c r="C108" s="106" t="s">
        <v>19</v>
      </c>
      <c r="D108" s="105"/>
      <c r="E108" s="106" t="s">
        <v>37</v>
      </c>
      <c r="F108" s="107" t="s">
        <v>30</v>
      </c>
    </row>
    <row r="109" spans="1:6" ht="42" customHeight="1" x14ac:dyDescent="0.25">
      <c r="A109" s="117" t="s">
        <v>194</v>
      </c>
      <c r="B109" s="105"/>
      <c r="C109" s="106" t="s">
        <v>21</v>
      </c>
      <c r="D109" s="105"/>
      <c r="E109" s="106" t="s">
        <v>117</v>
      </c>
      <c r="F109" s="107" t="s">
        <v>121</v>
      </c>
    </row>
    <row r="110" spans="1:6" ht="42" customHeight="1" x14ac:dyDescent="0.25">
      <c r="A110" s="104" t="s">
        <v>11</v>
      </c>
      <c r="B110" s="105"/>
      <c r="C110" s="106" t="s">
        <v>14</v>
      </c>
      <c r="D110" s="105"/>
      <c r="E110" s="106" t="s">
        <v>42</v>
      </c>
      <c r="F110" s="107" t="s">
        <v>40</v>
      </c>
    </row>
    <row r="111" spans="1:6" ht="42" customHeight="1" x14ac:dyDescent="0.25">
      <c r="A111" s="104" t="s">
        <v>1</v>
      </c>
      <c r="B111" s="105"/>
      <c r="C111" s="106" t="s">
        <v>17</v>
      </c>
      <c r="D111" s="105"/>
      <c r="E111" s="106" t="s">
        <v>38</v>
      </c>
      <c r="F111" s="107" t="s">
        <v>31</v>
      </c>
    </row>
    <row r="112" spans="1:6" ht="42" customHeight="1" x14ac:dyDescent="0.25">
      <c r="A112" s="104" t="s">
        <v>4</v>
      </c>
      <c r="B112" s="105"/>
      <c r="C112" s="106"/>
      <c r="D112" s="105"/>
      <c r="E112" s="106" t="s">
        <v>41</v>
      </c>
      <c r="F112" s="107" t="s">
        <v>39</v>
      </c>
    </row>
    <row r="113" spans="1:6" ht="42" customHeight="1" x14ac:dyDescent="0.25">
      <c r="A113" s="117" t="s">
        <v>126</v>
      </c>
      <c r="B113" s="105"/>
      <c r="C113" s="106"/>
      <c r="D113" s="105"/>
      <c r="E113" s="106" t="s">
        <v>43</v>
      </c>
      <c r="F113" s="107" t="s">
        <v>120</v>
      </c>
    </row>
    <row r="114" spans="1:6" ht="42" customHeight="1" x14ac:dyDescent="0.25">
      <c r="A114" s="117" t="s">
        <v>183</v>
      </c>
      <c r="B114" s="105"/>
      <c r="C114" s="106"/>
      <c r="D114" s="105"/>
      <c r="E114" s="106" t="s">
        <v>118</v>
      </c>
      <c r="F114" s="107" t="s">
        <v>122</v>
      </c>
    </row>
    <row r="115" spans="1:6" ht="42" customHeight="1" x14ac:dyDescent="0.25">
      <c r="A115" s="117" t="s">
        <v>142</v>
      </c>
      <c r="B115" s="105"/>
      <c r="C115" s="105"/>
      <c r="D115" s="105"/>
      <c r="E115" s="106" t="s">
        <v>37</v>
      </c>
      <c r="F115" s="107" t="s">
        <v>31</v>
      </c>
    </row>
    <row r="116" spans="1:6" ht="42" customHeight="1" x14ac:dyDescent="0.25">
      <c r="A116" s="117"/>
      <c r="B116" s="105"/>
      <c r="C116" s="105"/>
      <c r="D116" s="105"/>
      <c r="E116" s="106" t="s">
        <v>45</v>
      </c>
      <c r="F116" s="107" t="s">
        <v>33</v>
      </c>
    </row>
    <row r="117" spans="1:6" ht="42" customHeight="1" x14ac:dyDescent="0.25">
      <c r="A117" s="117"/>
      <c r="B117" s="105"/>
      <c r="C117" s="105"/>
      <c r="D117" s="105"/>
      <c r="E117" s="106" t="s">
        <v>44</v>
      </c>
      <c r="F117" s="107" t="s">
        <v>32</v>
      </c>
    </row>
    <row r="118" spans="1:6" ht="42" customHeight="1" thickBot="1" x14ac:dyDescent="0.3">
      <c r="A118" s="118"/>
      <c r="B118" s="119"/>
      <c r="C118" s="119"/>
      <c r="D118" s="119"/>
      <c r="E118" s="120" t="s">
        <v>142</v>
      </c>
      <c r="F118" s="121" t="s">
        <v>142</v>
      </c>
    </row>
  </sheetData>
  <dataConsolidate/>
  <mergeCells count="7">
    <mergeCell ref="A101:F102"/>
    <mergeCell ref="A1:O1"/>
    <mergeCell ref="A3:O3"/>
    <mergeCell ref="A11:O11"/>
    <mergeCell ref="A29:O29"/>
    <mergeCell ref="A41:O41"/>
    <mergeCell ref="A42:F42"/>
  </mergeCells>
  <dataValidations count="7">
    <dataValidation type="list" allowBlank="1" showInputMessage="1" showErrorMessage="1" sqref="G5:G10 G14:G17 G31 G20:G27" xr:uid="{00000000-0002-0000-2800-000000000000}">
      <formula1>$C$104:$C$112</formula1>
    </dataValidation>
    <dataValidation type="list" allowBlank="1" showInputMessage="1" showErrorMessage="1" sqref="A5:A10 A31:A32 A14:A17 A20:A27" xr:uid="{00000000-0002-0000-2800-000001000000}">
      <formula1>$D$104:$D$106</formula1>
    </dataValidation>
    <dataValidation type="list" allowBlank="1" showInputMessage="1" showErrorMessage="1" sqref="B5:B10 B31 B14:B17 B20:B27" xr:uid="{00000000-0002-0000-2800-000002000000}">
      <formula1>$B$104:$B$108</formula1>
    </dataValidation>
    <dataValidation type="list" allowBlank="1" showInputMessage="1" showErrorMessage="1" sqref="E5:E10 E14:E17 E31 E20:E27" xr:uid="{00000000-0002-0000-2800-000003000000}">
      <formula1>$F$104:$F$118</formula1>
    </dataValidation>
    <dataValidation type="list" allowBlank="1" showInputMessage="1" showErrorMessage="1" sqref="F5:F10 F14:F17 F31 F20:F27" xr:uid="{00000000-0002-0000-2800-000004000000}">
      <formula1>$E$104:$E$118</formula1>
    </dataValidation>
    <dataValidation type="list" allowBlank="1" showInputMessage="1" showErrorMessage="1" sqref="C20:D27 C14:D17 C31:D31 C5:D10" xr:uid="{00000000-0002-0000-2800-000005000000}">
      <formula1>$A$104:$A$116</formula1>
    </dataValidation>
    <dataValidation type="list" allowBlank="1" showInputMessage="1" showErrorMessage="1" sqref="C32:D40" xr:uid="{00000000-0002-0000-2800-000006000000}">
      <formula1>#REF!</formula1>
    </dataValidation>
  </dataValidations>
  <printOptions horizontalCentered="1"/>
  <pageMargins left="0.25" right="0.25" top="0.75" bottom="0.75" header="0.3" footer="0.3"/>
  <pageSetup scale="10" orientation="landscape" r:id="rId1"/>
  <headerFooter>
    <oddHeader>&amp;C&amp;"Arial,Bold"&amp;18University of Illinois - Derivative Position Report as of June 30, 2011&amp;R&amp;D
&amp;T</oddHeader>
  </headerFooter>
  <legacy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22">
    <tabColor rgb="FFFF0000"/>
    <pageSetUpPr fitToPage="1"/>
  </sheetPr>
  <dimension ref="A1:X118"/>
  <sheetViews>
    <sheetView topLeftCell="C1" zoomScale="74" zoomScaleNormal="74" workbookViewId="0">
      <pane ySplit="2" topLeftCell="A3" activePane="bottomLeft" state="frozen"/>
      <selection activeCell="DD94" sqref="DD94"/>
      <selection pane="bottomLeft" activeCell="DD94" sqref="DD94"/>
    </sheetView>
  </sheetViews>
  <sheetFormatPr defaultColWidth="20.44140625" defaultRowHeight="42" customHeight="1" x14ac:dyDescent="0.25"/>
  <cols>
    <col min="1" max="1" width="26.44140625" style="77" customWidth="1"/>
    <col min="2" max="2" width="20.44140625" style="77"/>
    <col min="3" max="3" width="20.44140625" style="77" customWidth="1"/>
    <col min="4" max="10" width="20.44140625" style="77"/>
    <col min="11" max="12" width="20.77734375" style="77" bestFit="1" customWidth="1"/>
    <col min="13" max="17" width="20.44140625" style="77"/>
    <col min="18" max="18" width="47.6640625" style="77" customWidth="1"/>
    <col min="19" max="19" width="27" style="77" customWidth="1"/>
    <col min="20" max="21" width="20.44140625" style="77"/>
    <col min="22" max="23" width="20.44140625" style="99"/>
    <col min="24" max="16384" width="20.44140625" style="77"/>
  </cols>
  <sheetData>
    <row r="1" spans="1:24" ht="42" customHeight="1" thickBot="1" x14ac:dyDescent="0.3">
      <c r="A1" s="900" t="s">
        <v>189</v>
      </c>
      <c r="B1" s="900"/>
      <c r="C1" s="900"/>
      <c r="D1" s="900"/>
      <c r="E1" s="900"/>
      <c r="F1" s="900"/>
      <c r="G1" s="900"/>
      <c r="H1" s="900"/>
      <c r="I1" s="900"/>
      <c r="J1" s="900"/>
      <c r="K1" s="900"/>
      <c r="L1" s="900"/>
      <c r="M1" s="900"/>
      <c r="N1" s="900"/>
      <c r="O1" s="900"/>
      <c r="Q1" s="76"/>
      <c r="R1" s="76"/>
      <c r="S1" s="76"/>
      <c r="T1" s="76"/>
      <c r="U1" s="76"/>
      <c r="V1" s="76"/>
      <c r="W1" s="76"/>
      <c r="X1" s="76"/>
    </row>
    <row r="2" spans="1:24" ht="30" customHeight="1" x14ac:dyDescent="0.25">
      <c r="A2" s="171"/>
      <c r="B2" s="224"/>
      <c r="C2" s="171"/>
      <c r="D2" s="171"/>
      <c r="E2" s="171"/>
      <c r="F2" s="171"/>
      <c r="G2" s="171"/>
      <c r="H2" s="171"/>
      <c r="I2" s="171"/>
      <c r="J2" s="171"/>
      <c r="K2" s="171"/>
      <c r="L2" s="171"/>
      <c r="M2" s="171"/>
      <c r="N2" s="171"/>
      <c r="O2" s="171"/>
      <c r="Q2" s="76"/>
      <c r="R2" s="76"/>
      <c r="S2" s="76"/>
      <c r="T2" s="76"/>
      <c r="U2" s="76"/>
      <c r="V2" s="76"/>
      <c r="W2" s="76"/>
      <c r="X2" s="76"/>
    </row>
    <row r="3" spans="1:24" ht="42" customHeight="1" x14ac:dyDescent="0.25">
      <c r="A3" s="901" t="s">
        <v>204</v>
      </c>
      <c r="B3" s="902"/>
      <c r="C3" s="902"/>
      <c r="D3" s="902"/>
      <c r="E3" s="902"/>
      <c r="F3" s="902"/>
      <c r="G3" s="902"/>
      <c r="H3" s="902"/>
      <c r="I3" s="902"/>
      <c r="J3" s="902"/>
      <c r="K3" s="902"/>
      <c r="L3" s="902"/>
      <c r="M3" s="902"/>
      <c r="N3" s="902"/>
      <c r="O3" s="903"/>
      <c r="P3" s="75"/>
      <c r="Q3" s="76"/>
      <c r="R3" s="76"/>
      <c r="S3" s="76"/>
      <c r="T3" s="76"/>
      <c r="U3" s="76"/>
      <c r="V3" s="76"/>
      <c r="W3" s="76"/>
      <c r="X3" s="76"/>
    </row>
    <row r="4" spans="1:24" s="75" customFormat="1" ht="66.75" customHeight="1" x14ac:dyDescent="0.25">
      <c r="A4" s="176" t="s">
        <v>89</v>
      </c>
      <c r="B4" s="176" t="s">
        <v>90</v>
      </c>
      <c r="C4" s="177" t="s">
        <v>0</v>
      </c>
      <c r="D4" s="177" t="s">
        <v>124</v>
      </c>
      <c r="E4" s="176" t="s">
        <v>143</v>
      </c>
      <c r="F4" s="176" t="s">
        <v>144</v>
      </c>
      <c r="G4" s="176" t="s">
        <v>13</v>
      </c>
      <c r="H4" s="176" t="s">
        <v>88</v>
      </c>
      <c r="I4" s="176" t="s">
        <v>12</v>
      </c>
      <c r="J4" s="176" t="s">
        <v>158</v>
      </c>
      <c r="K4" s="176" t="s">
        <v>148</v>
      </c>
      <c r="L4" s="176" t="s">
        <v>153</v>
      </c>
      <c r="M4" s="176" t="s">
        <v>104</v>
      </c>
      <c r="N4" s="176" t="s">
        <v>154</v>
      </c>
      <c r="O4" s="176" t="s">
        <v>205</v>
      </c>
      <c r="P4" s="77"/>
      <c r="Q4" s="76"/>
      <c r="R4" s="76"/>
      <c r="S4" s="76"/>
      <c r="T4" s="76"/>
      <c r="U4" s="76"/>
      <c r="V4" s="76"/>
      <c r="W4" s="76"/>
      <c r="X4" s="76"/>
    </row>
    <row r="5" spans="1:24" ht="42" customHeight="1" x14ac:dyDescent="0.25">
      <c r="A5" s="82" t="s">
        <v>84</v>
      </c>
      <c r="B5" s="83" t="s">
        <v>3</v>
      </c>
      <c r="C5" s="83" t="s">
        <v>1</v>
      </c>
      <c r="D5" s="83" t="s">
        <v>1</v>
      </c>
      <c r="E5" s="84" t="s">
        <v>40</v>
      </c>
      <c r="F5" s="84" t="s">
        <v>42</v>
      </c>
      <c r="G5" s="83" t="s">
        <v>14</v>
      </c>
      <c r="H5" s="85">
        <v>44423</v>
      </c>
      <c r="I5" s="83" t="s">
        <v>23</v>
      </c>
      <c r="J5" s="173">
        <v>143.66499999999999</v>
      </c>
      <c r="K5" s="173">
        <v>125.28</v>
      </c>
      <c r="L5" s="173">
        <f>+N5-M5</f>
        <v>17.042446999999999</v>
      </c>
      <c r="M5" s="173">
        <v>0.56100000000000005</v>
      </c>
      <c r="N5" s="173">
        <v>17.603446999999999</v>
      </c>
      <c r="O5" s="187"/>
      <c r="V5" s="77"/>
      <c r="W5" s="77"/>
    </row>
    <row r="6" spans="1:24" ht="42" customHeight="1" x14ac:dyDescent="0.25">
      <c r="A6" s="90" t="s">
        <v>84</v>
      </c>
      <c r="B6" s="91" t="s">
        <v>3</v>
      </c>
      <c r="C6" s="91" t="s">
        <v>1</v>
      </c>
      <c r="D6" s="91" t="s">
        <v>1</v>
      </c>
      <c r="E6" s="92" t="s">
        <v>40</v>
      </c>
      <c r="F6" s="91" t="s">
        <v>42</v>
      </c>
      <c r="G6" s="91" t="s">
        <v>14</v>
      </c>
      <c r="H6" s="93">
        <v>44576</v>
      </c>
      <c r="I6" s="91" t="s">
        <v>24</v>
      </c>
      <c r="J6" s="174">
        <v>27.395</v>
      </c>
      <c r="K6" s="174">
        <v>27.2575</v>
      </c>
      <c r="L6" s="174">
        <f>+N6-M6</f>
        <v>4.9631810000000005</v>
      </c>
      <c r="M6" s="174">
        <v>6.8472000000000005E-2</v>
      </c>
      <c r="N6" s="174">
        <v>5.0316530000000004</v>
      </c>
      <c r="O6" s="188"/>
      <c r="V6" s="77"/>
      <c r="W6" s="77"/>
    </row>
    <row r="7" spans="1:24" ht="42" customHeight="1" x14ac:dyDescent="0.25">
      <c r="A7" s="82" t="s">
        <v>84</v>
      </c>
      <c r="B7" s="83" t="s">
        <v>3</v>
      </c>
      <c r="C7" s="83" t="s">
        <v>194</v>
      </c>
      <c r="D7" s="83" t="s">
        <v>194</v>
      </c>
      <c r="E7" s="84" t="s">
        <v>31</v>
      </c>
      <c r="F7" s="84" t="s">
        <v>36</v>
      </c>
      <c r="G7" s="83" t="s">
        <v>14</v>
      </c>
      <c r="H7" s="85">
        <v>44576</v>
      </c>
      <c r="I7" s="83" t="s">
        <v>24</v>
      </c>
      <c r="J7" s="173">
        <v>26.85</v>
      </c>
      <c r="K7" s="173">
        <v>26.742000000000001</v>
      </c>
      <c r="L7" s="173">
        <f>+N7-M7</f>
        <v>4.8677029999999997</v>
      </c>
      <c r="M7" s="173">
        <v>6.7179000000000003E-2</v>
      </c>
      <c r="N7" s="173">
        <v>4.934882</v>
      </c>
      <c r="O7" s="187"/>
      <c r="V7" s="77"/>
      <c r="W7" s="77"/>
    </row>
    <row r="8" spans="1:24" ht="42" customHeight="1" x14ac:dyDescent="0.25">
      <c r="A8" s="90" t="s">
        <v>84</v>
      </c>
      <c r="B8" s="91" t="s">
        <v>3</v>
      </c>
      <c r="C8" s="91" t="s">
        <v>11</v>
      </c>
      <c r="D8" s="91" t="s">
        <v>125</v>
      </c>
      <c r="E8" s="92" t="s">
        <v>39</v>
      </c>
      <c r="F8" s="91" t="s">
        <v>38</v>
      </c>
      <c r="G8" s="91" t="s">
        <v>14</v>
      </c>
      <c r="H8" s="93">
        <v>46296</v>
      </c>
      <c r="I8" s="91" t="s">
        <v>25</v>
      </c>
      <c r="J8" s="174">
        <v>40.875</v>
      </c>
      <c r="K8" s="174">
        <v>40.875</v>
      </c>
      <c r="L8" s="174">
        <f>+N8-M8</f>
        <v>6.8680569999999994</v>
      </c>
      <c r="M8" s="174">
        <v>6.5221000000000001E-2</v>
      </c>
      <c r="N8" s="174">
        <v>6.9332779999999996</v>
      </c>
      <c r="O8" s="188"/>
      <c r="V8" s="77"/>
      <c r="W8" s="77"/>
    </row>
    <row r="9" spans="1:24" s="97" customFormat="1" ht="42" customHeight="1" x14ac:dyDescent="0.25">
      <c r="A9" s="98"/>
      <c r="B9" s="111"/>
      <c r="C9" s="111"/>
      <c r="D9" s="111"/>
      <c r="E9" s="123"/>
      <c r="F9" s="111"/>
      <c r="G9" s="111"/>
      <c r="H9" s="114"/>
      <c r="I9" s="111"/>
      <c r="J9" s="189"/>
      <c r="K9" s="189"/>
      <c r="L9" s="189"/>
      <c r="M9" s="189"/>
      <c r="N9" s="190"/>
      <c r="O9" s="190"/>
    </row>
    <row r="10" spans="1:24" ht="42" customHeight="1" x14ac:dyDescent="0.25">
      <c r="A10" s="90"/>
      <c r="B10" s="91"/>
      <c r="C10" s="91"/>
      <c r="D10" s="91"/>
      <c r="E10" s="92"/>
      <c r="F10" s="91"/>
      <c r="G10" s="91"/>
      <c r="H10" s="93"/>
      <c r="I10" s="91"/>
      <c r="J10" s="174"/>
      <c r="K10" s="174"/>
      <c r="L10" s="174"/>
      <c r="M10" s="174"/>
      <c r="N10" s="188"/>
      <c r="O10" s="188"/>
      <c r="P10" s="77">
        <f>16.28-7.68</f>
        <v>8.6000000000000014</v>
      </c>
      <c r="V10" s="77"/>
      <c r="W10" s="77"/>
    </row>
    <row r="11" spans="1:24" s="97" customFormat="1" ht="42" customHeight="1" x14ac:dyDescent="0.25">
      <c r="A11" s="901" t="s">
        <v>203</v>
      </c>
      <c r="B11" s="902"/>
      <c r="C11" s="902"/>
      <c r="D11" s="902"/>
      <c r="E11" s="902"/>
      <c r="F11" s="902"/>
      <c r="G11" s="902"/>
      <c r="H11" s="902"/>
      <c r="I11" s="902"/>
      <c r="J11" s="902"/>
      <c r="K11" s="902"/>
      <c r="L11" s="902"/>
      <c r="M11" s="902"/>
      <c r="N11" s="902"/>
      <c r="O11" s="903"/>
      <c r="P11" s="97">
        <f>P10/16.28</f>
        <v>0.52825552825552835</v>
      </c>
    </row>
    <row r="12" spans="1:24" s="97" customFormat="1" ht="74.25" customHeight="1" x14ac:dyDescent="0.25">
      <c r="A12" s="176" t="s">
        <v>89</v>
      </c>
      <c r="B12" s="176" t="s">
        <v>90</v>
      </c>
      <c r="C12" s="177" t="s">
        <v>0</v>
      </c>
      <c r="D12" s="180" t="s">
        <v>124</v>
      </c>
      <c r="E12" s="176" t="s">
        <v>143</v>
      </c>
      <c r="F12" s="176" t="s">
        <v>144</v>
      </c>
      <c r="G12" s="176" t="s">
        <v>13</v>
      </c>
      <c r="H12" s="176" t="s">
        <v>88</v>
      </c>
      <c r="I12" s="176" t="s">
        <v>12</v>
      </c>
      <c r="J12" s="176" t="s">
        <v>150</v>
      </c>
      <c r="K12" s="176" t="s">
        <v>151</v>
      </c>
      <c r="L12" s="176" t="s">
        <v>157</v>
      </c>
      <c r="M12" s="176" t="s">
        <v>149</v>
      </c>
      <c r="N12" s="176" t="s">
        <v>154</v>
      </c>
      <c r="O12" s="176" t="s">
        <v>205</v>
      </c>
    </row>
    <row r="13" spans="1:24" s="178" customFormat="1" ht="24" customHeight="1" x14ac:dyDescent="0.25">
      <c r="A13" s="184" t="s">
        <v>197</v>
      </c>
      <c r="B13" s="184"/>
      <c r="C13" s="185"/>
      <c r="D13" s="185"/>
      <c r="E13" s="184"/>
      <c r="F13" s="184"/>
      <c r="G13" s="184"/>
      <c r="H13" s="184"/>
      <c r="I13" s="184"/>
      <c r="J13" s="184"/>
      <c r="K13" s="184"/>
      <c r="L13" s="184"/>
      <c r="M13" s="184"/>
      <c r="N13" s="184"/>
      <c r="O13" s="186"/>
    </row>
    <row r="14" spans="1:24" ht="42" customHeight="1" x14ac:dyDescent="0.25">
      <c r="A14" s="90" t="s">
        <v>84</v>
      </c>
      <c r="B14" s="91" t="s">
        <v>7</v>
      </c>
      <c r="C14" s="91" t="s">
        <v>4</v>
      </c>
      <c r="D14" s="91" t="s">
        <v>126</v>
      </c>
      <c r="E14" s="92" t="s">
        <v>30</v>
      </c>
      <c r="F14" s="91" t="s">
        <v>142</v>
      </c>
      <c r="G14" s="91" t="s">
        <v>22</v>
      </c>
      <c r="H14" s="93">
        <v>41090</v>
      </c>
      <c r="I14" s="91" t="s">
        <v>176</v>
      </c>
      <c r="J14" s="188">
        <v>33.978496646000004</v>
      </c>
      <c r="K14" s="188">
        <v>5.3989234959999903</v>
      </c>
      <c r="L14" s="188">
        <v>28.579573150000002</v>
      </c>
      <c r="M14" s="188"/>
      <c r="N14" s="188"/>
      <c r="O14" s="188"/>
      <c r="V14" s="77"/>
      <c r="W14" s="77"/>
    </row>
    <row r="15" spans="1:24" ht="42" customHeight="1" x14ac:dyDescent="0.25">
      <c r="A15" s="82" t="s">
        <v>8</v>
      </c>
      <c r="B15" s="83" t="s">
        <v>7</v>
      </c>
      <c r="C15" s="83" t="s">
        <v>4</v>
      </c>
      <c r="D15" s="83" t="s">
        <v>126</v>
      </c>
      <c r="E15" s="84" t="s">
        <v>30</v>
      </c>
      <c r="F15" s="84" t="s">
        <v>142</v>
      </c>
      <c r="G15" s="83" t="s">
        <v>22</v>
      </c>
      <c r="H15" s="85">
        <v>41455</v>
      </c>
      <c r="I15" s="83" t="s">
        <v>131</v>
      </c>
      <c r="J15" s="187">
        <v>25.649837216000002</v>
      </c>
      <c r="K15" s="187">
        <v>0</v>
      </c>
      <c r="L15" s="187">
        <v>25.649837216000002</v>
      </c>
      <c r="M15" s="187"/>
      <c r="N15" s="187"/>
      <c r="O15" s="187"/>
      <c r="V15" s="77"/>
      <c r="W15" s="77"/>
    </row>
    <row r="16" spans="1:24" ht="42" customHeight="1" x14ac:dyDescent="0.25">
      <c r="A16" s="90" t="s">
        <v>8</v>
      </c>
      <c r="B16" s="91" t="s">
        <v>7</v>
      </c>
      <c r="C16" s="91" t="s">
        <v>4</v>
      </c>
      <c r="D16" s="91" t="s">
        <v>126</v>
      </c>
      <c r="E16" s="92" t="s">
        <v>30</v>
      </c>
      <c r="F16" s="91" t="s">
        <v>142</v>
      </c>
      <c r="G16" s="91" t="s">
        <v>22</v>
      </c>
      <c r="H16" s="93">
        <v>41820</v>
      </c>
      <c r="I16" s="91" t="s">
        <v>132</v>
      </c>
      <c r="J16" s="188">
        <v>7.2467119509999902</v>
      </c>
      <c r="K16" s="188">
        <v>0</v>
      </c>
      <c r="L16" s="188">
        <v>7.2467119509999902</v>
      </c>
      <c r="M16" s="188"/>
      <c r="N16" s="188"/>
      <c r="O16" s="188"/>
      <c r="V16" s="77"/>
      <c r="W16" s="77"/>
    </row>
    <row r="17" spans="1:23" ht="42" customHeight="1" x14ac:dyDescent="0.25">
      <c r="A17" s="82"/>
      <c r="B17" s="83"/>
      <c r="C17" s="83"/>
      <c r="D17" s="83"/>
      <c r="E17" s="84"/>
      <c r="F17" s="84"/>
      <c r="G17" s="83"/>
      <c r="H17" s="85"/>
      <c r="I17" s="83" t="s">
        <v>133</v>
      </c>
      <c r="J17" s="191">
        <v>0.43733208000000101</v>
      </c>
      <c r="K17" s="191">
        <v>0</v>
      </c>
      <c r="L17" s="191">
        <v>0.43733208000000101</v>
      </c>
      <c r="M17" s="187"/>
      <c r="N17" s="187"/>
      <c r="O17" s="187"/>
      <c r="V17" s="77"/>
      <c r="W17" s="77"/>
    </row>
    <row r="18" spans="1:23" ht="42" customHeight="1" x14ac:dyDescent="0.25">
      <c r="A18" s="181"/>
      <c r="B18" s="181"/>
      <c r="C18" s="181"/>
      <c r="D18" s="181"/>
      <c r="E18" s="182"/>
      <c r="F18" s="181"/>
      <c r="G18" s="181"/>
      <c r="H18" s="183" t="s">
        <v>206</v>
      </c>
      <c r="I18" s="181"/>
      <c r="J18" s="192">
        <f>SUM(J14:J17)</f>
        <v>67.312377893000004</v>
      </c>
      <c r="K18" s="192">
        <f>SUM(K14:K17)</f>
        <v>5.3989234959999903</v>
      </c>
      <c r="L18" s="192">
        <f>SUM(L14:L17)</f>
        <v>61.913454396999995</v>
      </c>
      <c r="M18" s="192">
        <v>45.63522339699999</v>
      </c>
      <c r="N18" s="192">
        <v>16.278231000000002</v>
      </c>
      <c r="O18" s="192">
        <v>35</v>
      </c>
      <c r="V18" s="77"/>
      <c r="W18" s="77"/>
    </row>
    <row r="19" spans="1:23" s="178" customFormat="1" ht="24" customHeight="1" x14ac:dyDescent="0.25">
      <c r="A19" s="184" t="s">
        <v>198</v>
      </c>
      <c r="B19" s="184"/>
      <c r="C19" s="185"/>
      <c r="D19" s="185"/>
      <c r="E19" s="184"/>
      <c r="F19" s="184"/>
      <c r="G19" s="184"/>
      <c r="H19" s="184"/>
      <c r="I19" s="184"/>
      <c r="J19" s="184"/>
      <c r="K19" s="184"/>
      <c r="L19" s="184"/>
      <c r="M19" s="184"/>
      <c r="N19" s="184"/>
      <c r="O19" s="186"/>
    </row>
    <row r="20" spans="1:23" s="97" customFormat="1" ht="58.5" customHeight="1" x14ac:dyDescent="0.25">
      <c r="A20" s="82" t="s">
        <v>8</v>
      </c>
      <c r="B20" s="83" t="s">
        <v>7</v>
      </c>
      <c r="C20" s="83" t="s">
        <v>27</v>
      </c>
      <c r="D20" s="83" t="s">
        <v>127</v>
      </c>
      <c r="E20" s="84" t="s">
        <v>33</v>
      </c>
      <c r="F20" s="84" t="s">
        <v>45</v>
      </c>
      <c r="G20" s="83" t="s">
        <v>22</v>
      </c>
      <c r="H20" s="85">
        <v>41090</v>
      </c>
      <c r="I20" s="83" t="s">
        <v>135</v>
      </c>
      <c r="J20" s="187">
        <v>6.571148</v>
      </c>
      <c r="K20" s="187">
        <v>2.7122213200000003</v>
      </c>
      <c r="L20" s="187">
        <v>3.8589266799999997</v>
      </c>
      <c r="M20" s="187"/>
      <c r="N20" s="187"/>
      <c r="O20" s="187"/>
    </row>
    <row r="21" spans="1:23" ht="42" customHeight="1" x14ac:dyDescent="0.25">
      <c r="A21" s="90" t="s">
        <v>8</v>
      </c>
      <c r="B21" s="91" t="s">
        <v>7</v>
      </c>
      <c r="C21" s="91" t="s">
        <v>92</v>
      </c>
      <c r="D21" s="91" t="s">
        <v>128</v>
      </c>
      <c r="E21" s="92" t="s">
        <v>33</v>
      </c>
      <c r="F21" s="91" t="s">
        <v>44</v>
      </c>
      <c r="G21" s="91" t="s">
        <v>22</v>
      </c>
      <c r="H21" s="93">
        <v>41090</v>
      </c>
      <c r="I21" s="91" t="s">
        <v>136</v>
      </c>
      <c r="J21" s="188">
        <v>0.25278499999999998</v>
      </c>
      <c r="K21" s="188">
        <v>0.23661763999999996</v>
      </c>
      <c r="L21" s="188">
        <v>1.6167360000000019E-2</v>
      </c>
      <c r="M21" s="188"/>
      <c r="N21" s="188"/>
      <c r="O21" s="188"/>
      <c r="V21" s="77"/>
      <c r="W21" s="77"/>
    </row>
    <row r="22" spans="1:23" s="97" customFormat="1" ht="51" customHeight="1" x14ac:dyDescent="0.25">
      <c r="A22" s="82" t="s">
        <v>8</v>
      </c>
      <c r="B22" s="83" t="s">
        <v>7</v>
      </c>
      <c r="C22" s="83" t="s">
        <v>27</v>
      </c>
      <c r="D22" s="83" t="s">
        <v>127</v>
      </c>
      <c r="E22" s="84" t="s">
        <v>33</v>
      </c>
      <c r="F22" s="84" t="s">
        <v>45</v>
      </c>
      <c r="G22" s="83" t="s">
        <v>22</v>
      </c>
      <c r="H22" s="85">
        <v>41455</v>
      </c>
      <c r="I22" s="83" t="s">
        <v>137</v>
      </c>
      <c r="J22" s="187">
        <v>5.2490870000000003</v>
      </c>
      <c r="K22" s="187">
        <v>0</v>
      </c>
      <c r="L22" s="187">
        <v>5.2490870000000003</v>
      </c>
      <c r="M22" s="187"/>
      <c r="N22" s="187"/>
      <c r="O22" s="187"/>
    </row>
    <row r="23" spans="1:23" ht="42" customHeight="1" x14ac:dyDescent="0.25">
      <c r="A23" s="90" t="s">
        <v>84</v>
      </c>
      <c r="B23" s="91" t="s">
        <v>7</v>
      </c>
      <c r="C23" s="91" t="s">
        <v>92</v>
      </c>
      <c r="D23" s="91" t="s">
        <v>128</v>
      </c>
      <c r="E23" s="92" t="s">
        <v>33</v>
      </c>
      <c r="F23" s="91" t="s">
        <v>44</v>
      </c>
      <c r="G23" s="91" t="s">
        <v>22</v>
      </c>
      <c r="H23" s="93">
        <v>41455</v>
      </c>
      <c r="I23" s="91" t="s">
        <v>137</v>
      </c>
      <c r="J23" s="188">
        <v>2.6345E-2</v>
      </c>
      <c r="K23" s="188">
        <v>0</v>
      </c>
      <c r="L23" s="188">
        <v>2.6345E-2</v>
      </c>
      <c r="M23" s="188"/>
      <c r="N23" s="188"/>
      <c r="O23" s="188"/>
      <c r="V23" s="77"/>
      <c r="W23" s="77"/>
    </row>
    <row r="24" spans="1:23" s="97" customFormat="1" ht="55.5" customHeight="1" x14ac:dyDescent="0.25">
      <c r="A24" s="82" t="s">
        <v>84</v>
      </c>
      <c r="B24" s="83" t="s">
        <v>7</v>
      </c>
      <c r="C24" s="83" t="s">
        <v>27</v>
      </c>
      <c r="D24" s="83" t="s">
        <v>127</v>
      </c>
      <c r="E24" s="84" t="s">
        <v>33</v>
      </c>
      <c r="F24" s="84" t="s">
        <v>45</v>
      </c>
      <c r="G24" s="83" t="s">
        <v>22</v>
      </c>
      <c r="H24" s="85">
        <v>41820</v>
      </c>
      <c r="I24" s="83" t="s">
        <v>138</v>
      </c>
      <c r="J24" s="187">
        <v>0.92112799999999995</v>
      </c>
      <c r="K24" s="187">
        <v>0</v>
      </c>
      <c r="L24" s="187">
        <v>0.92112799999999995</v>
      </c>
      <c r="M24" s="187"/>
      <c r="N24" s="187"/>
      <c r="O24" s="187"/>
    </row>
    <row r="25" spans="1:23" ht="42" customHeight="1" x14ac:dyDescent="0.25">
      <c r="A25" s="90" t="s">
        <v>8</v>
      </c>
      <c r="B25" s="91" t="s">
        <v>7</v>
      </c>
      <c r="C25" s="91" t="s">
        <v>92</v>
      </c>
      <c r="D25" s="91" t="s">
        <v>128</v>
      </c>
      <c r="E25" s="92" t="s">
        <v>33</v>
      </c>
      <c r="F25" s="91" t="s">
        <v>44</v>
      </c>
      <c r="G25" s="91" t="s">
        <v>22</v>
      </c>
      <c r="H25" s="93">
        <v>41820</v>
      </c>
      <c r="I25" s="91" t="s">
        <v>138</v>
      </c>
      <c r="J25" s="188">
        <v>0.21435199999999999</v>
      </c>
      <c r="K25" s="188">
        <v>0</v>
      </c>
      <c r="L25" s="188">
        <v>0.21435199999999999</v>
      </c>
      <c r="M25" s="188"/>
      <c r="N25" s="188"/>
      <c r="O25" s="188"/>
      <c r="V25" s="77"/>
      <c r="W25" s="77"/>
    </row>
    <row r="26" spans="1:23" s="97" customFormat="1" ht="42" customHeight="1" x14ac:dyDescent="0.25">
      <c r="A26" s="82" t="s">
        <v>8</v>
      </c>
      <c r="B26" s="83" t="s">
        <v>7</v>
      </c>
      <c r="C26" s="83"/>
      <c r="D26" s="83"/>
      <c r="E26" s="84"/>
      <c r="F26" s="84"/>
      <c r="G26" s="83"/>
      <c r="H26" s="85"/>
      <c r="I26" s="83" t="s">
        <v>139</v>
      </c>
      <c r="J26" s="187">
        <v>0</v>
      </c>
      <c r="K26" s="187">
        <v>0</v>
      </c>
      <c r="L26" s="187">
        <v>0</v>
      </c>
      <c r="M26" s="187"/>
      <c r="N26" s="187"/>
      <c r="O26" s="187"/>
    </row>
    <row r="27" spans="1:23" ht="42" customHeight="1" x14ac:dyDescent="0.25">
      <c r="A27" s="90" t="s">
        <v>8</v>
      </c>
      <c r="B27" s="91" t="s">
        <v>7</v>
      </c>
      <c r="C27" s="91"/>
      <c r="D27" s="91"/>
      <c r="E27" s="92"/>
      <c r="F27" s="91"/>
      <c r="G27" s="91"/>
      <c r="H27" s="93"/>
      <c r="I27" s="91" t="s">
        <v>139</v>
      </c>
      <c r="J27" s="193">
        <v>0</v>
      </c>
      <c r="K27" s="193">
        <v>0</v>
      </c>
      <c r="L27" s="193">
        <v>0</v>
      </c>
      <c r="M27" s="193"/>
      <c r="N27" s="193"/>
      <c r="O27" s="193"/>
      <c r="V27" s="77"/>
      <c r="W27" s="77"/>
    </row>
    <row r="28" spans="1:23" s="97" customFormat="1" ht="42" customHeight="1" x14ac:dyDescent="0.25">
      <c r="A28" s="181"/>
      <c r="B28" s="181"/>
      <c r="C28" s="181"/>
      <c r="D28" s="181"/>
      <c r="E28" s="182"/>
      <c r="F28" s="181"/>
      <c r="G28" s="181"/>
      <c r="H28" s="183" t="s">
        <v>206</v>
      </c>
      <c r="I28" s="181"/>
      <c r="J28" s="192">
        <f>SUM(J20:J27)</f>
        <v>13.234844999999998</v>
      </c>
      <c r="K28" s="192">
        <f>SUM(K20:K27)</f>
        <v>2.9488389600000002</v>
      </c>
      <c r="L28" s="192">
        <f>SUM(L20:L27)</f>
        <v>10.286006039999998</v>
      </c>
      <c r="M28" s="192">
        <v>10.612101415999998</v>
      </c>
      <c r="N28" s="192">
        <v>-0.32609537599999983</v>
      </c>
      <c r="O28" s="192">
        <v>0</v>
      </c>
    </row>
    <row r="29" spans="1:23" ht="48" customHeight="1" x14ac:dyDescent="0.25">
      <c r="A29" s="901" t="s">
        <v>202</v>
      </c>
      <c r="B29" s="902"/>
      <c r="C29" s="902"/>
      <c r="D29" s="902"/>
      <c r="E29" s="902"/>
      <c r="F29" s="902"/>
      <c r="G29" s="902"/>
      <c r="H29" s="902"/>
      <c r="I29" s="902"/>
      <c r="J29" s="902"/>
      <c r="K29" s="902"/>
      <c r="L29" s="902"/>
      <c r="M29" s="902"/>
      <c r="N29" s="902"/>
      <c r="O29" s="903"/>
      <c r="V29" s="77"/>
      <c r="W29" s="77"/>
    </row>
    <row r="30" spans="1:23" s="97" customFormat="1" ht="66" customHeight="1" x14ac:dyDescent="0.25">
      <c r="A30" s="176" t="s">
        <v>89</v>
      </c>
      <c r="B30" s="176" t="s">
        <v>90</v>
      </c>
      <c r="C30" s="177" t="s">
        <v>0</v>
      </c>
      <c r="D30" s="177" t="s">
        <v>124</v>
      </c>
      <c r="E30" s="176" t="s">
        <v>143</v>
      </c>
      <c r="F30" s="176" t="s">
        <v>144</v>
      </c>
      <c r="G30" s="176" t="s">
        <v>13</v>
      </c>
      <c r="H30" s="176" t="s">
        <v>88</v>
      </c>
      <c r="I30" s="176" t="s">
        <v>12</v>
      </c>
      <c r="J30" s="176" t="s">
        <v>200</v>
      </c>
      <c r="K30" s="176" t="s">
        <v>199</v>
      </c>
      <c r="L30" s="176" t="s">
        <v>201</v>
      </c>
      <c r="M30" s="176" t="s">
        <v>149</v>
      </c>
      <c r="N30" s="176" t="s">
        <v>154</v>
      </c>
      <c r="O30" s="176" t="s">
        <v>205</v>
      </c>
    </row>
    <row r="31" spans="1:23" s="97" customFormat="1" ht="42" customHeight="1" x14ac:dyDescent="0.25">
      <c r="A31" s="90" t="s">
        <v>84</v>
      </c>
      <c r="B31" s="91" t="s">
        <v>9</v>
      </c>
      <c r="C31" s="91" t="s">
        <v>183</v>
      </c>
      <c r="D31" s="91" t="s">
        <v>142</v>
      </c>
      <c r="E31" s="92" t="s">
        <v>142</v>
      </c>
      <c r="F31" s="91" t="s">
        <v>142</v>
      </c>
      <c r="G31" s="91" t="s">
        <v>22</v>
      </c>
      <c r="H31" s="93">
        <v>41449</v>
      </c>
      <c r="I31" s="91" t="s">
        <v>172</v>
      </c>
      <c r="J31" s="179">
        <v>7.0349999999999996E-2</v>
      </c>
      <c r="K31" s="179">
        <v>0</v>
      </c>
      <c r="L31" s="179">
        <v>7.0349999999999996E-2</v>
      </c>
      <c r="M31" s="272">
        <f>1.339*50000/1000000</f>
        <v>6.6949999999999996E-2</v>
      </c>
      <c r="N31" s="179">
        <f>+L31-M31</f>
        <v>3.4000000000000002E-3</v>
      </c>
      <c r="O31" s="179"/>
      <c r="V31" s="100"/>
      <c r="W31" s="100"/>
    </row>
    <row r="32" spans="1:23" ht="42" customHeight="1" x14ac:dyDescent="0.25">
      <c r="A32" s="98"/>
      <c r="J32" s="144"/>
      <c r="K32" s="144"/>
      <c r="L32" s="144"/>
      <c r="M32" s="144"/>
      <c r="N32" s="144"/>
      <c r="O32" s="144"/>
      <c r="R32" s="76"/>
      <c r="S32" s="76"/>
      <c r="T32" s="76"/>
      <c r="U32" s="76"/>
      <c r="V32" s="123"/>
      <c r="W32" s="123"/>
    </row>
    <row r="33" spans="1:23" ht="42" customHeight="1" x14ac:dyDescent="0.25">
      <c r="R33" s="76"/>
      <c r="S33" s="76"/>
      <c r="T33" s="76"/>
      <c r="U33" s="76"/>
      <c r="V33" s="123"/>
      <c r="W33" s="123"/>
    </row>
    <row r="41" spans="1:23" s="198" customFormat="1" ht="42" customHeight="1" thickBot="1" x14ac:dyDescent="0.3">
      <c r="A41" s="904" t="s">
        <v>207</v>
      </c>
      <c r="B41" s="904"/>
      <c r="C41" s="904"/>
      <c r="D41" s="904"/>
      <c r="E41" s="904"/>
      <c r="F41" s="904"/>
      <c r="G41" s="904"/>
      <c r="H41" s="904"/>
      <c r="I41" s="904"/>
      <c r="J41" s="904"/>
      <c r="K41" s="904"/>
      <c r="L41" s="904"/>
      <c r="M41" s="904"/>
      <c r="N41" s="904"/>
      <c r="O41" s="904"/>
      <c r="V41" s="199"/>
      <c r="W41" s="199"/>
    </row>
    <row r="42" spans="1:23" ht="42" customHeight="1" x14ac:dyDescent="0.3">
      <c r="A42" s="905" t="s">
        <v>140</v>
      </c>
      <c r="B42" s="905"/>
      <c r="C42" s="905"/>
      <c r="D42" s="905"/>
      <c r="E42" s="905"/>
      <c r="F42" s="905"/>
    </row>
    <row r="43" spans="1:23" ht="42" customHeight="1" x14ac:dyDescent="0.3">
      <c r="A43" s="202" t="s">
        <v>0</v>
      </c>
      <c r="B43" s="203" t="s">
        <v>108</v>
      </c>
      <c r="C43" s="203" t="s">
        <v>109</v>
      </c>
      <c r="D43" s="202" t="s">
        <v>173</v>
      </c>
      <c r="E43" s="202" t="s">
        <v>106</v>
      </c>
      <c r="F43" s="202" t="s">
        <v>110</v>
      </c>
      <c r="H43" s="203" t="s">
        <v>208</v>
      </c>
    </row>
    <row r="44" spans="1:23" ht="9" customHeight="1" x14ac:dyDescent="0.25">
      <c r="A44" s="168"/>
      <c r="B44" s="168"/>
      <c r="C44" s="168"/>
      <c r="D44" s="168"/>
      <c r="E44" s="168"/>
      <c r="F44" s="168"/>
    </row>
    <row r="45" spans="1:23" ht="42" customHeight="1" x14ac:dyDescent="0.25">
      <c r="A45" s="211" t="s">
        <v>27</v>
      </c>
      <c r="B45" s="204">
        <v>0</v>
      </c>
      <c r="C45" s="204">
        <v>11.844329760000001</v>
      </c>
      <c r="D45" s="204">
        <v>0</v>
      </c>
      <c r="E45" s="204">
        <f>SUM(B45:D45)</f>
        <v>11.844329760000001</v>
      </c>
      <c r="F45" s="205">
        <f>+E45/$E$52</f>
        <v>3.9125896820043859E-2</v>
      </c>
      <c r="H45" s="144">
        <f>+N28</f>
        <v>-0.32609537599999983</v>
      </c>
    </row>
    <row r="46" spans="1:23" ht="42" customHeight="1" x14ac:dyDescent="0.25">
      <c r="A46" s="211" t="s">
        <v>92</v>
      </c>
      <c r="B46" s="204">
        <v>0</v>
      </c>
      <c r="C46" s="204">
        <v>0.41141679999999997</v>
      </c>
      <c r="D46" s="204">
        <v>0</v>
      </c>
      <c r="E46" s="204">
        <f t="shared" ref="E46:E51" si="0">SUM(B46:D46)</f>
        <v>0.41141679999999997</v>
      </c>
      <c r="F46" s="205">
        <f t="shared" ref="F46:F51" si="1">+E46/$E$52</f>
        <v>1.3590512585350898E-3</v>
      </c>
    </row>
    <row r="47" spans="1:23" ht="42" customHeight="1" x14ac:dyDescent="0.25">
      <c r="A47" s="168" t="s">
        <v>2</v>
      </c>
      <c r="B47" s="204">
        <v>26.7425</v>
      </c>
      <c r="C47" s="204">
        <v>0</v>
      </c>
      <c r="D47" s="204">
        <v>0</v>
      </c>
      <c r="E47" s="204">
        <f t="shared" si="0"/>
        <v>26.7425</v>
      </c>
      <c r="F47" s="205">
        <f t="shared" si="1"/>
        <v>8.8339679569173254E-2</v>
      </c>
      <c r="H47" s="144">
        <f>+N7</f>
        <v>4.934882</v>
      </c>
    </row>
    <row r="48" spans="1:23" ht="42" customHeight="1" x14ac:dyDescent="0.25">
      <c r="A48" s="211" t="s">
        <v>11</v>
      </c>
      <c r="B48" s="204">
        <v>40.875</v>
      </c>
      <c r="C48" s="204">
        <v>0</v>
      </c>
      <c r="D48" s="204">
        <v>0</v>
      </c>
      <c r="E48" s="204">
        <f t="shared" si="0"/>
        <v>40.875</v>
      </c>
      <c r="F48" s="205">
        <f t="shared" si="1"/>
        <v>0.13502419004917104</v>
      </c>
      <c r="H48" s="144">
        <f>+N8</f>
        <v>6.9332779999999996</v>
      </c>
    </row>
    <row r="49" spans="1:8" ht="42" customHeight="1" x14ac:dyDescent="0.25">
      <c r="A49" s="168" t="s">
        <v>1</v>
      </c>
      <c r="B49" s="204">
        <v>159.3775</v>
      </c>
      <c r="C49" s="204">
        <v>0</v>
      </c>
      <c r="D49" s="204">
        <v>0</v>
      </c>
      <c r="E49" s="204">
        <f t="shared" si="0"/>
        <v>159.3775</v>
      </c>
      <c r="F49" s="205">
        <f t="shared" si="1"/>
        <v>0.52647872414829988</v>
      </c>
      <c r="H49" s="144">
        <f>+N5+N6</f>
        <v>22.635100000000001</v>
      </c>
    </row>
    <row r="50" spans="1:8" ht="42" customHeight="1" x14ac:dyDescent="0.25">
      <c r="A50" s="168" t="s">
        <v>4</v>
      </c>
      <c r="B50" s="204">
        <v>0</v>
      </c>
      <c r="C50" s="204">
        <v>63.402437535000054</v>
      </c>
      <c r="D50" s="204">
        <v>0</v>
      </c>
      <c r="E50" s="204">
        <f t="shared" si="0"/>
        <v>63.402437535000054</v>
      </c>
      <c r="F50" s="205">
        <f t="shared" si="1"/>
        <v>0.20944006789740779</v>
      </c>
      <c r="H50" s="144">
        <f>+N18</f>
        <v>16.278231000000002</v>
      </c>
    </row>
    <row r="51" spans="1:8" ht="42" customHeight="1" x14ac:dyDescent="0.4">
      <c r="A51" s="168" t="s">
        <v>183</v>
      </c>
      <c r="B51" s="206">
        <v>0</v>
      </c>
      <c r="C51" s="206">
        <v>0</v>
      </c>
      <c r="D51" s="206">
        <v>7.0349999999999996E-2</v>
      </c>
      <c r="E51" s="206">
        <f t="shared" si="0"/>
        <v>7.0349999999999996E-2</v>
      </c>
      <c r="F51" s="207">
        <f t="shared" si="1"/>
        <v>2.32390257369032E-4</v>
      </c>
      <c r="H51" s="212">
        <f>+N31</f>
        <v>3.4000000000000002E-3</v>
      </c>
    </row>
    <row r="52" spans="1:8" ht="42" customHeight="1" x14ac:dyDescent="0.4">
      <c r="A52" s="168" t="s">
        <v>106</v>
      </c>
      <c r="B52" s="209">
        <v>226.995</v>
      </c>
      <c r="C52" s="209">
        <f>SUM(C45:C51)</f>
        <v>75.658184095000053</v>
      </c>
      <c r="D52" s="209">
        <f t="shared" ref="D52:H52" si="2">SUM(D45:D51)</f>
        <v>7.0349999999999996E-2</v>
      </c>
      <c r="E52" s="209">
        <f t="shared" si="2"/>
        <v>302.72353409500005</v>
      </c>
      <c r="F52" s="210">
        <f t="shared" si="2"/>
        <v>0.99999999999999989</v>
      </c>
      <c r="H52" s="208">
        <f t="shared" si="2"/>
        <v>50.458795624000004</v>
      </c>
    </row>
    <row r="53" spans="1:8" ht="42" customHeight="1" x14ac:dyDescent="0.25">
      <c r="A53" s="168"/>
      <c r="B53" s="168"/>
      <c r="C53" s="168"/>
      <c r="D53" s="168"/>
      <c r="E53" s="168"/>
      <c r="F53" s="168"/>
    </row>
    <row r="100" spans="1:6" ht="42" customHeight="1" thickBot="1" x14ac:dyDescent="0.3"/>
    <row r="101" spans="1:6" ht="42" customHeight="1" x14ac:dyDescent="0.25">
      <c r="A101" s="894" t="s">
        <v>195</v>
      </c>
      <c r="B101" s="895"/>
      <c r="C101" s="895"/>
      <c r="D101" s="895"/>
      <c r="E101" s="895"/>
      <c r="F101" s="896"/>
    </row>
    <row r="102" spans="1:6" ht="42" customHeight="1" thickBot="1" x14ac:dyDescent="0.3">
      <c r="A102" s="897"/>
      <c r="B102" s="898"/>
      <c r="C102" s="898"/>
      <c r="D102" s="898"/>
      <c r="E102" s="898"/>
      <c r="F102" s="899"/>
    </row>
    <row r="103" spans="1:6" ht="42" customHeight="1" x14ac:dyDescent="0.25">
      <c r="A103" s="162" t="s">
        <v>5</v>
      </c>
      <c r="B103" s="161" t="s">
        <v>6</v>
      </c>
      <c r="C103" s="161" t="s">
        <v>13</v>
      </c>
      <c r="D103" s="161" t="s">
        <v>82</v>
      </c>
      <c r="E103" s="161" t="s">
        <v>115</v>
      </c>
      <c r="F103" s="163" t="s">
        <v>116</v>
      </c>
    </row>
    <row r="104" spans="1:6" ht="55.5" customHeight="1" x14ac:dyDescent="0.25">
      <c r="A104" s="104" t="s">
        <v>91</v>
      </c>
      <c r="B104" s="106" t="s">
        <v>190</v>
      </c>
      <c r="C104" s="106" t="s">
        <v>18</v>
      </c>
      <c r="D104" s="105" t="s">
        <v>8</v>
      </c>
      <c r="E104" s="106" t="s">
        <v>36</v>
      </c>
      <c r="F104" s="107" t="s">
        <v>29</v>
      </c>
    </row>
    <row r="105" spans="1:6" ht="60" customHeight="1" x14ac:dyDescent="0.25">
      <c r="A105" s="104" t="s">
        <v>27</v>
      </c>
      <c r="B105" s="106" t="s">
        <v>192</v>
      </c>
      <c r="C105" s="106" t="s">
        <v>15</v>
      </c>
      <c r="D105" s="105" t="s">
        <v>84</v>
      </c>
      <c r="E105" s="106" t="s">
        <v>35</v>
      </c>
      <c r="F105" s="107" t="s">
        <v>28</v>
      </c>
    </row>
    <row r="106" spans="1:6" ht="56.25" customHeight="1" x14ac:dyDescent="0.25">
      <c r="A106" s="117" t="s">
        <v>125</v>
      </c>
      <c r="B106" s="106" t="s">
        <v>191</v>
      </c>
      <c r="C106" s="106" t="s">
        <v>16</v>
      </c>
      <c r="D106" s="105"/>
      <c r="E106" s="106" t="s">
        <v>46</v>
      </c>
      <c r="F106" s="107" t="s">
        <v>34</v>
      </c>
    </row>
    <row r="107" spans="1:6" ht="42" customHeight="1" x14ac:dyDescent="0.25">
      <c r="A107" s="117" t="s">
        <v>128</v>
      </c>
      <c r="B107" s="106" t="s">
        <v>193</v>
      </c>
      <c r="C107" s="106" t="s">
        <v>20</v>
      </c>
      <c r="D107" s="105"/>
      <c r="E107" s="106" t="s">
        <v>142</v>
      </c>
      <c r="F107" s="107" t="s">
        <v>142</v>
      </c>
    </row>
    <row r="108" spans="1:6" ht="42" customHeight="1" x14ac:dyDescent="0.25">
      <c r="A108" s="104" t="s">
        <v>92</v>
      </c>
      <c r="B108" s="106"/>
      <c r="C108" s="106" t="s">
        <v>19</v>
      </c>
      <c r="D108" s="105"/>
      <c r="E108" s="106" t="s">
        <v>37</v>
      </c>
      <c r="F108" s="107" t="s">
        <v>30</v>
      </c>
    </row>
    <row r="109" spans="1:6" ht="42" customHeight="1" x14ac:dyDescent="0.25">
      <c r="A109" s="117" t="s">
        <v>194</v>
      </c>
      <c r="B109" s="105"/>
      <c r="C109" s="106" t="s">
        <v>21</v>
      </c>
      <c r="D109" s="105"/>
      <c r="E109" s="106" t="s">
        <v>117</v>
      </c>
      <c r="F109" s="107" t="s">
        <v>121</v>
      </c>
    </row>
    <row r="110" spans="1:6" ht="42" customHeight="1" x14ac:dyDescent="0.25">
      <c r="A110" s="104" t="s">
        <v>11</v>
      </c>
      <c r="B110" s="105"/>
      <c r="C110" s="106" t="s">
        <v>14</v>
      </c>
      <c r="D110" s="105"/>
      <c r="E110" s="106" t="s">
        <v>42</v>
      </c>
      <c r="F110" s="107" t="s">
        <v>40</v>
      </c>
    </row>
    <row r="111" spans="1:6" ht="42" customHeight="1" x14ac:dyDescent="0.25">
      <c r="A111" s="104" t="s">
        <v>1</v>
      </c>
      <c r="B111" s="105"/>
      <c r="C111" s="106" t="s">
        <v>17</v>
      </c>
      <c r="D111" s="105"/>
      <c r="E111" s="106" t="s">
        <v>38</v>
      </c>
      <c r="F111" s="107" t="s">
        <v>31</v>
      </c>
    </row>
    <row r="112" spans="1:6" ht="42" customHeight="1" x14ac:dyDescent="0.25">
      <c r="A112" s="104" t="s">
        <v>4</v>
      </c>
      <c r="B112" s="105"/>
      <c r="C112" s="106"/>
      <c r="D112" s="105"/>
      <c r="E112" s="106" t="s">
        <v>41</v>
      </c>
      <c r="F112" s="107" t="s">
        <v>39</v>
      </c>
    </row>
    <row r="113" spans="1:6" ht="42" customHeight="1" x14ac:dyDescent="0.25">
      <c r="A113" s="117" t="s">
        <v>126</v>
      </c>
      <c r="B113" s="105"/>
      <c r="C113" s="106"/>
      <c r="D113" s="105"/>
      <c r="E113" s="106" t="s">
        <v>43</v>
      </c>
      <c r="F113" s="107" t="s">
        <v>120</v>
      </c>
    </row>
    <row r="114" spans="1:6" ht="42" customHeight="1" x14ac:dyDescent="0.25">
      <c r="A114" s="117" t="s">
        <v>183</v>
      </c>
      <c r="B114" s="105"/>
      <c r="C114" s="106"/>
      <c r="D114" s="105"/>
      <c r="E114" s="106" t="s">
        <v>118</v>
      </c>
      <c r="F114" s="107" t="s">
        <v>122</v>
      </c>
    </row>
    <row r="115" spans="1:6" ht="42" customHeight="1" x14ac:dyDescent="0.25">
      <c r="A115" s="117" t="s">
        <v>142</v>
      </c>
      <c r="B115" s="105"/>
      <c r="C115" s="105"/>
      <c r="D115" s="105"/>
      <c r="E115" s="106" t="s">
        <v>37</v>
      </c>
      <c r="F115" s="107" t="s">
        <v>31</v>
      </c>
    </row>
    <row r="116" spans="1:6" ht="42" customHeight="1" x14ac:dyDescent="0.25">
      <c r="A116" s="117"/>
      <c r="B116" s="105"/>
      <c r="C116" s="105"/>
      <c r="D116" s="105"/>
      <c r="E116" s="106" t="s">
        <v>45</v>
      </c>
      <c r="F116" s="107" t="s">
        <v>33</v>
      </c>
    </row>
    <row r="117" spans="1:6" ht="42" customHeight="1" x14ac:dyDescent="0.25">
      <c r="A117" s="117"/>
      <c r="B117" s="105"/>
      <c r="C117" s="105"/>
      <c r="D117" s="105"/>
      <c r="E117" s="106" t="s">
        <v>44</v>
      </c>
      <c r="F117" s="107" t="s">
        <v>32</v>
      </c>
    </row>
    <row r="118" spans="1:6" ht="42" customHeight="1" thickBot="1" x14ac:dyDescent="0.3">
      <c r="A118" s="118"/>
      <c r="B118" s="119"/>
      <c r="C118" s="119"/>
      <c r="D118" s="119"/>
      <c r="E118" s="120" t="s">
        <v>142</v>
      </c>
      <c r="F118" s="121" t="s">
        <v>142</v>
      </c>
    </row>
  </sheetData>
  <dataConsolidate/>
  <mergeCells count="7">
    <mergeCell ref="A101:F102"/>
    <mergeCell ref="A1:O1"/>
    <mergeCell ref="A3:O3"/>
    <mergeCell ref="A11:O11"/>
    <mergeCell ref="A29:O29"/>
    <mergeCell ref="A41:O41"/>
    <mergeCell ref="A42:F42"/>
  </mergeCells>
  <dataValidations count="7">
    <dataValidation type="list" allowBlank="1" showInputMessage="1" showErrorMessage="1" sqref="G5:G10 G14:G17 G31 G20:G27" xr:uid="{00000000-0002-0000-2900-000000000000}">
      <formula1>$C$104:$C$112</formula1>
    </dataValidation>
    <dataValidation type="list" allowBlank="1" showInputMessage="1" showErrorMessage="1" sqref="A5:A10 A31:A32 A14:A17 A20:A27" xr:uid="{00000000-0002-0000-2900-000001000000}">
      <formula1>$D$104:$D$106</formula1>
    </dataValidation>
    <dataValidation type="list" allowBlank="1" showInputMessage="1" showErrorMessage="1" sqref="B5:B10 B31 B14:B17 B20:B27" xr:uid="{00000000-0002-0000-2900-000002000000}">
      <formula1>$B$104:$B$108</formula1>
    </dataValidation>
    <dataValidation type="list" allowBlank="1" showInputMessage="1" showErrorMessage="1" sqref="E5:E10 E14:E17 E31 E20:E27" xr:uid="{00000000-0002-0000-2900-000003000000}">
      <formula1>$F$104:$F$118</formula1>
    </dataValidation>
    <dataValidation type="list" allowBlank="1" showInputMessage="1" showErrorMessage="1" sqref="F5:F10 F14:F17 F31 F20:F27" xr:uid="{00000000-0002-0000-2900-000004000000}">
      <formula1>$E$104:$E$118</formula1>
    </dataValidation>
    <dataValidation type="list" allowBlank="1" showInputMessage="1" showErrorMessage="1" sqref="C20:D27 C14:D17 C31:D31 C5:D10" xr:uid="{00000000-0002-0000-2900-000005000000}">
      <formula1>$A$104:$A$116</formula1>
    </dataValidation>
    <dataValidation type="list" allowBlank="1" showInputMessage="1" showErrorMessage="1" sqref="C32:D40" xr:uid="{00000000-0002-0000-2900-000006000000}">
      <formula1>#REF!</formula1>
    </dataValidation>
  </dataValidations>
  <printOptions horizontalCentered="1"/>
  <pageMargins left="0.25" right="0.25" top="0.75" bottom="0.75" header="0.3" footer="0.3"/>
  <pageSetup scale="10" orientation="landscape" r:id="rId1"/>
  <headerFooter>
    <oddHeader>&amp;C&amp;"Arial,Bold"&amp;18University of Illinois - Derivative Position Report as of June 30, 2011&amp;R&amp;D
&amp;T</oddHeader>
  </headerFooter>
  <legacy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23">
    <tabColor rgb="FFFF0000"/>
    <pageSetUpPr fitToPage="1"/>
  </sheetPr>
  <dimension ref="A1:X118"/>
  <sheetViews>
    <sheetView topLeftCell="C1" zoomScale="74" zoomScaleNormal="74" workbookViewId="0">
      <pane ySplit="2" topLeftCell="A12" activePane="bottomLeft" state="frozen"/>
      <selection activeCell="DD94" sqref="DD94"/>
      <selection pane="bottomLeft" activeCell="DD94" sqref="DD94"/>
    </sheetView>
  </sheetViews>
  <sheetFormatPr defaultColWidth="20.44140625" defaultRowHeight="42" customHeight="1" x14ac:dyDescent="0.25"/>
  <cols>
    <col min="1" max="1" width="26.44140625" style="77" customWidth="1"/>
    <col min="2" max="2" width="20.44140625" style="77"/>
    <col min="3" max="3" width="20.44140625" style="77" customWidth="1"/>
    <col min="4" max="17" width="20.44140625" style="77"/>
    <col min="18" max="18" width="47.6640625" style="77" customWidth="1"/>
    <col min="19" max="19" width="27" style="77" customWidth="1"/>
    <col min="20" max="21" width="20.44140625" style="77"/>
    <col min="22" max="23" width="20.44140625" style="99"/>
    <col min="24" max="16384" width="20.44140625" style="77"/>
  </cols>
  <sheetData>
    <row r="1" spans="1:24" ht="42" customHeight="1" thickBot="1" x14ac:dyDescent="0.3">
      <c r="A1" s="900" t="s">
        <v>189</v>
      </c>
      <c r="B1" s="900"/>
      <c r="C1" s="900"/>
      <c r="D1" s="900"/>
      <c r="E1" s="900"/>
      <c r="F1" s="900"/>
      <c r="G1" s="900"/>
      <c r="H1" s="900"/>
      <c r="I1" s="900"/>
      <c r="J1" s="900"/>
      <c r="K1" s="900"/>
      <c r="L1" s="900"/>
      <c r="M1" s="900"/>
      <c r="N1" s="900"/>
      <c r="O1" s="900"/>
      <c r="Q1" s="76"/>
      <c r="R1" s="76"/>
      <c r="S1" s="76"/>
      <c r="T1" s="76"/>
      <c r="U1" s="76"/>
      <c r="V1" s="76"/>
      <c r="W1" s="76"/>
      <c r="X1" s="76"/>
    </row>
    <row r="2" spans="1:24" ht="30" customHeight="1" x14ac:dyDescent="0.25">
      <c r="A2" s="224"/>
      <c r="B2" s="224"/>
      <c r="C2" s="171"/>
      <c r="D2" s="171"/>
      <c r="E2" s="171"/>
      <c r="F2" s="171"/>
      <c r="G2" s="171"/>
      <c r="H2" s="171"/>
      <c r="I2" s="171"/>
      <c r="J2" s="171"/>
      <c r="K2" s="171"/>
      <c r="L2" s="171"/>
      <c r="M2" s="171"/>
      <c r="N2" s="171"/>
      <c r="O2" s="171"/>
      <c r="Q2" s="76"/>
      <c r="R2" s="76"/>
      <c r="S2" s="76"/>
      <c r="T2" s="76"/>
      <c r="U2" s="76"/>
      <c r="V2" s="76"/>
      <c r="W2" s="76"/>
      <c r="X2" s="76"/>
    </row>
    <row r="3" spans="1:24" ht="42" customHeight="1" x14ac:dyDescent="0.25">
      <c r="A3" s="901" t="s">
        <v>204</v>
      </c>
      <c r="B3" s="902"/>
      <c r="C3" s="902"/>
      <c r="D3" s="902"/>
      <c r="E3" s="902"/>
      <c r="F3" s="902"/>
      <c r="G3" s="902"/>
      <c r="H3" s="902"/>
      <c r="I3" s="902"/>
      <c r="J3" s="902"/>
      <c r="K3" s="902"/>
      <c r="L3" s="902"/>
      <c r="M3" s="902"/>
      <c r="N3" s="902"/>
      <c r="O3" s="903"/>
      <c r="P3" s="75"/>
      <c r="Q3" s="76"/>
      <c r="R3" s="76"/>
      <c r="S3" s="76"/>
      <c r="T3" s="76"/>
      <c r="U3" s="76"/>
      <c r="V3" s="76"/>
      <c r="W3" s="76"/>
      <c r="X3" s="76"/>
    </row>
    <row r="4" spans="1:24" s="75" customFormat="1" ht="66.75" customHeight="1" x14ac:dyDescent="0.25">
      <c r="A4" s="176" t="s">
        <v>89</v>
      </c>
      <c r="B4" s="176" t="s">
        <v>90</v>
      </c>
      <c r="C4" s="177" t="s">
        <v>0</v>
      </c>
      <c r="D4" s="177" t="s">
        <v>124</v>
      </c>
      <c r="E4" s="176" t="s">
        <v>143</v>
      </c>
      <c r="F4" s="176" t="s">
        <v>144</v>
      </c>
      <c r="G4" s="176" t="s">
        <v>13</v>
      </c>
      <c r="H4" s="176" t="s">
        <v>88</v>
      </c>
      <c r="I4" s="176" t="s">
        <v>12</v>
      </c>
      <c r="J4" s="176" t="s">
        <v>158</v>
      </c>
      <c r="K4" s="176" t="s">
        <v>148</v>
      </c>
      <c r="L4" s="176" t="s">
        <v>153</v>
      </c>
      <c r="M4" s="176" t="s">
        <v>104</v>
      </c>
      <c r="N4" s="176" t="s">
        <v>154</v>
      </c>
      <c r="O4" s="176" t="s">
        <v>205</v>
      </c>
      <c r="P4" s="77"/>
      <c r="Q4" s="76"/>
      <c r="R4" s="76"/>
      <c r="S4" s="76"/>
      <c r="T4" s="76"/>
      <c r="U4" s="76"/>
      <c r="V4" s="76"/>
      <c r="W4" s="76"/>
      <c r="X4" s="76"/>
    </row>
    <row r="5" spans="1:24" ht="42" customHeight="1" x14ac:dyDescent="0.25">
      <c r="A5" s="82" t="s">
        <v>84</v>
      </c>
      <c r="B5" s="83" t="s">
        <v>3</v>
      </c>
      <c r="C5" s="83" t="s">
        <v>1</v>
      </c>
      <c r="D5" s="83" t="s">
        <v>1</v>
      </c>
      <c r="E5" s="84" t="s">
        <v>40</v>
      </c>
      <c r="F5" s="84" t="s">
        <v>42</v>
      </c>
      <c r="G5" s="83" t="s">
        <v>14</v>
      </c>
      <c r="H5" s="85">
        <v>44423</v>
      </c>
      <c r="I5" s="83" t="s">
        <v>23</v>
      </c>
      <c r="J5" s="173">
        <v>143.66499999999999</v>
      </c>
      <c r="K5" s="265">
        <v>125.28</v>
      </c>
      <c r="L5" s="173">
        <f>+N5-M5</f>
        <v>16.761125</v>
      </c>
      <c r="M5" s="173">
        <v>0.19865099999999999</v>
      </c>
      <c r="N5" s="187">
        <v>16.959776000000002</v>
      </c>
      <c r="O5" s="187" t="s">
        <v>210</v>
      </c>
      <c r="V5" s="77"/>
      <c r="W5" s="77"/>
    </row>
    <row r="6" spans="1:24" ht="42" customHeight="1" x14ac:dyDescent="0.25">
      <c r="A6" s="90" t="s">
        <v>84</v>
      </c>
      <c r="B6" s="91" t="s">
        <v>3</v>
      </c>
      <c r="C6" s="91" t="s">
        <v>1</v>
      </c>
      <c r="D6" s="91" t="s">
        <v>1</v>
      </c>
      <c r="E6" s="92" t="s">
        <v>40</v>
      </c>
      <c r="F6" s="91" t="s">
        <v>42</v>
      </c>
      <c r="G6" s="91" t="s">
        <v>14</v>
      </c>
      <c r="H6" s="93">
        <v>44576</v>
      </c>
      <c r="I6" s="91" t="s">
        <v>24</v>
      </c>
      <c r="J6" s="174">
        <v>27.395</v>
      </c>
      <c r="K6" s="266">
        <v>27.2575</v>
      </c>
      <c r="L6" s="174">
        <f t="shared" ref="L6:L8" si="0">+N6-M6</f>
        <v>4.8056950000000001</v>
      </c>
      <c r="M6" s="174">
        <v>8.3640000000000006E-2</v>
      </c>
      <c r="N6" s="188">
        <v>4.889335</v>
      </c>
      <c r="O6" s="188" t="s">
        <v>210</v>
      </c>
      <c r="V6" s="77"/>
      <c r="W6" s="77"/>
    </row>
    <row r="7" spans="1:24" ht="42" customHeight="1" x14ac:dyDescent="0.25">
      <c r="A7" s="82" t="s">
        <v>84</v>
      </c>
      <c r="B7" s="83" t="s">
        <v>3</v>
      </c>
      <c r="C7" s="83" t="s">
        <v>194</v>
      </c>
      <c r="D7" s="83" t="s">
        <v>194</v>
      </c>
      <c r="E7" s="84" t="s">
        <v>31</v>
      </c>
      <c r="F7" s="84" t="s">
        <v>36</v>
      </c>
      <c r="G7" s="83" t="s">
        <v>14</v>
      </c>
      <c r="H7" s="85">
        <v>44576</v>
      </c>
      <c r="I7" s="83" t="s">
        <v>24</v>
      </c>
      <c r="J7" s="173">
        <v>26.85</v>
      </c>
      <c r="K7" s="265">
        <v>26.7425</v>
      </c>
      <c r="L7" s="173">
        <f t="shared" si="0"/>
        <v>4.7143269999999999</v>
      </c>
      <c r="M7" s="173">
        <v>8.2059000000000007E-2</v>
      </c>
      <c r="N7" s="187">
        <v>4.796386</v>
      </c>
      <c r="O7" s="187" t="s">
        <v>210</v>
      </c>
      <c r="V7" s="77"/>
      <c r="W7" s="77"/>
    </row>
    <row r="8" spans="1:24" ht="42" customHeight="1" x14ac:dyDescent="0.25">
      <c r="A8" s="90" t="s">
        <v>84</v>
      </c>
      <c r="B8" s="91" t="s">
        <v>3</v>
      </c>
      <c r="C8" s="91" t="s">
        <v>11</v>
      </c>
      <c r="D8" s="91" t="s">
        <v>125</v>
      </c>
      <c r="E8" s="92" t="s">
        <v>39</v>
      </c>
      <c r="F8" s="91" t="s">
        <v>38</v>
      </c>
      <c r="G8" s="91" t="s">
        <v>14</v>
      </c>
      <c r="H8" s="93">
        <v>46296</v>
      </c>
      <c r="I8" s="91" t="s">
        <v>25</v>
      </c>
      <c r="J8" s="174">
        <v>40.875</v>
      </c>
      <c r="K8" s="266">
        <v>40.875</v>
      </c>
      <c r="L8" s="174">
        <f t="shared" si="0"/>
        <v>6.2810039999999994</v>
      </c>
      <c r="M8" s="174">
        <v>8.4728999999999999E-2</v>
      </c>
      <c r="N8" s="188">
        <v>6.3657329999999996</v>
      </c>
      <c r="O8" s="188" t="s">
        <v>210</v>
      </c>
      <c r="V8" s="77"/>
      <c r="W8" s="77"/>
    </row>
    <row r="9" spans="1:24" s="97" customFormat="1" ht="42" customHeight="1" x14ac:dyDescent="0.25">
      <c r="A9" s="98"/>
      <c r="B9" s="111"/>
      <c r="C9" s="111"/>
      <c r="D9" s="111"/>
      <c r="E9" s="123"/>
      <c r="F9" s="111"/>
      <c r="G9" s="111"/>
      <c r="H9" s="114"/>
      <c r="I9" s="111"/>
      <c r="J9" s="189"/>
      <c r="K9" s="189"/>
      <c r="L9" s="189"/>
      <c r="M9" s="189"/>
      <c r="N9" s="190"/>
      <c r="O9" s="190"/>
    </row>
    <row r="10" spans="1:24" ht="42" customHeight="1" x14ac:dyDescent="0.25">
      <c r="A10" s="90"/>
      <c r="B10" s="91"/>
      <c r="C10" s="91"/>
      <c r="D10" s="91"/>
      <c r="E10" s="92"/>
      <c r="F10" s="91"/>
      <c r="G10" s="91"/>
      <c r="H10" s="93"/>
      <c r="I10" s="91"/>
      <c r="J10" s="174"/>
      <c r="K10" s="174"/>
      <c r="L10" s="174"/>
      <c r="M10" s="174"/>
      <c r="N10" s="188"/>
      <c r="O10" s="188"/>
      <c r="V10" s="77"/>
      <c r="W10" s="77"/>
    </row>
    <row r="11" spans="1:24" s="97" customFormat="1" ht="42" customHeight="1" x14ac:dyDescent="0.25">
      <c r="A11" s="901" t="s">
        <v>203</v>
      </c>
      <c r="B11" s="902"/>
      <c r="C11" s="902"/>
      <c r="D11" s="902"/>
      <c r="E11" s="902"/>
      <c r="F11" s="902"/>
      <c r="G11" s="902"/>
      <c r="H11" s="902"/>
      <c r="I11" s="902"/>
      <c r="J11" s="902"/>
      <c r="K11" s="902"/>
      <c r="L11" s="902"/>
      <c r="M11" s="902"/>
      <c r="N11" s="902"/>
      <c r="O11" s="903"/>
    </row>
    <row r="12" spans="1:24" s="97" customFormat="1" ht="74.25" customHeight="1" x14ac:dyDescent="0.25">
      <c r="A12" s="176" t="s">
        <v>89</v>
      </c>
      <c r="B12" s="176" t="s">
        <v>90</v>
      </c>
      <c r="C12" s="177" t="s">
        <v>0</v>
      </c>
      <c r="D12" s="180" t="s">
        <v>124</v>
      </c>
      <c r="E12" s="176" t="s">
        <v>143</v>
      </c>
      <c r="F12" s="176" t="s">
        <v>144</v>
      </c>
      <c r="G12" s="176" t="s">
        <v>13</v>
      </c>
      <c r="H12" s="176" t="s">
        <v>88</v>
      </c>
      <c r="I12" s="176" t="s">
        <v>12</v>
      </c>
      <c r="J12" s="176" t="s">
        <v>150</v>
      </c>
      <c r="K12" s="176" t="s">
        <v>151</v>
      </c>
      <c r="L12" s="176" t="s">
        <v>157</v>
      </c>
      <c r="M12" s="176" t="s">
        <v>149</v>
      </c>
      <c r="N12" s="176" t="s">
        <v>154</v>
      </c>
      <c r="O12" s="176" t="s">
        <v>205</v>
      </c>
    </row>
    <row r="13" spans="1:24" s="178" customFormat="1" ht="24" customHeight="1" x14ac:dyDescent="0.25">
      <c r="A13" s="184" t="s">
        <v>197</v>
      </c>
      <c r="B13" s="184"/>
      <c r="C13" s="185"/>
      <c r="D13" s="185"/>
      <c r="E13" s="184"/>
      <c r="F13" s="184"/>
      <c r="G13" s="184"/>
      <c r="H13" s="184"/>
      <c r="I13" s="184"/>
      <c r="J13" s="184"/>
      <c r="K13" s="184"/>
      <c r="L13" s="184"/>
      <c r="M13" s="184"/>
      <c r="N13" s="184"/>
      <c r="O13" s="186"/>
    </row>
    <row r="14" spans="1:24" ht="42" customHeight="1" x14ac:dyDescent="0.25">
      <c r="A14" s="90" t="s">
        <v>84</v>
      </c>
      <c r="B14" s="91" t="s">
        <v>7</v>
      </c>
      <c r="C14" s="91" t="s">
        <v>4</v>
      </c>
      <c r="D14" s="91" t="s">
        <v>126</v>
      </c>
      <c r="E14" s="92" t="s">
        <v>30</v>
      </c>
      <c r="F14" s="91" t="s">
        <v>142</v>
      </c>
      <c r="G14" s="91" t="s">
        <v>22</v>
      </c>
      <c r="H14" s="93">
        <v>41090</v>
      </c>
      <c r="I14" s="91" t="s">
        <v>176</v>
      </c>
      <c r="J14" s="188">
        <v>33.984470232</v>
      </c>
      <c r="K14" s="188">
        <v>3.6756461999999899</v>
      </c>
      <c r="L14" s="188">
        <v>30.308824032000011</v>
      </c>
      <c r="M14" s="188"/>
      <c r="N14" s="188"/>
      <c r="O14" s="188"/>
      <c r="V14" s="77"/>
      <c r="W14" s="77"/>
    </row>
    <row r="15" spans="1:24" ht="42" customHeight="1" x14ac:dyDescent="0.25">
      <c r="A15" s="82" t="s">
        <v>8</v>
      </c>
      <c r="B15" s="83" t="s">
        <v>7</v>
      </c>
      <c r="C15" s="83" t="s">
        <v>4</v>
      </c>
      <c r="D15" s="83" t="s">
        <v>126</v>
      </c>
      <c r="E15" s="84" t="s">
        <v>30</v>
      </c>
      <c r="F15" s="84" t="s">
        <v>142</v>
      </c>
      <c r="G15" s="83" t="s">
        <v>22</v>
      </c>
      <c r="H15" s="85">
        <v>41455</v>
      </c>
      <c r="I15" s="83" t="s">
        <v>131</v>
      </c>
      <c r="J15" s="187">
        <v>25.619498190999899</v>
      </c>
      <c r="K15" s="187">
        <v>0</v>
      </c>
      <c r="L15" s="187">
        <v>25.619498190999899</v>
      </c>
      <c r="M15" s="187"/>
      <c r="N15" s="187"/>
      <c r="O15" s="187"/>
      <c r="V15" s="77"/>
      <c r="W15" s="77"/>
    </row>
    <row r="16" spans="1:24" ht="42" customHeight="1" x14ac:dyDescent="0.25">
      <c r="A16" s="90" t="s">
        <v>8</v>
      </c>
      <c r="B16" s="91" t="s">
        <v>7</v>
      </c>
      <c r="C16" s="91" t="s">
        <v>4</v>
      </c>
      <c r="D16" s="91" t="s">
        <v>126</v>
      </c>
      <c r="E16" s="92" t="s">
        <v>30</v>
      </c>
      <c r="F16" s="91" t="s">
        <v>142</v>
      </c>
      <c r="G16" s="91" t="s">
        <v>22</v>
      </c>
      <c r="H16" s="93">
        <v>41820</v>
      </c>
      <c r="I16" s="91" t="s">
        <v>132</v>
      </c>
      <c r="J16" s="188">
        <v>6.41236066699999</v>
      </c>
      <c r="K16" s="188">
        <v>0</v>
      </c>
      <c r="L16" s="188">
        <v>6.41236066699999</v>
      </c>
      <c r="M16" s="188"/>
      <c r="N16" s="188"/>
      <c r="O16" s="188"/>
      <c r="V16" s="77"/>
      <c r="W16" s="77"/>
    </row>
    <row r="17" spans="1:23" ht="42" customHeight="1" x14ac:dyDescent="0.25">
      <c r="A17" s="82"/>
      <c r="B17" s="83"/>
      <c r="C17" s="83"/>
      <c r="D17" s="83" t="s">
        <v>126</v>
      </c>
      <c r="E17" s="84" t="s">
        <v>30</v>
      </c>
      <c r="F17" s="84" t="s">
        <v>142</v>
      </c>
      <c r="G17" s="83" t="s">
        <v>22</v>
      </c>
      <c r="H17" s="85">
        <v>42185</v>
      </c>
      <c r="I17" s="83" t="s">
        <v>133</v>
      </c>
      <c r="J17" s="191">
        <v>0.180964972</v>
      </c>
      <c r="K17" s="191">
        <v>0</v>
      </c>
      <c r="L17" s="191">
        <v>0.18</v>
      </c>
      <c r="M17" s="187"/>
      <c r="N17" s="187"/>
      <c r="O17" s="187"/>
      <c r="V17" s="77"/>
      <c r="W17" s="77"/>
    </row>
    <row r="18" spans="1:23" ht="42" customHeight="1" x14ac:dyDescent="0.25">
      <c r="A18" s="181"/>
      <c r="B18" s="181"/>
      <c r="C18" s="181"/>
      <c r="D18" s="181"/>
      <c r="E18" s="182"/>
      <c r="F18" s="181"/>
      <c r="G18" s="181"/>
      <c r="H18" s="183" t="s">
        <v>206</v>
      </c>
      <c r="I18" s="181"/>
      <c r="J18" s="192">
        <f>SUM(J14:J17)</f>
        <v>66.197294061999884</v>
      </c>
      <c r="K18" s="192">
        <f>SUM(K14:K17)</f>
        <v>3.6756461999999899</v>
      </c>
      <c r="L18" s="192">
        <f>SUM(L14:L17)</f>
        <v>62.520682889999897</v>
      </c>
      <c r="M18" s="192">
        <v>49.043539861999903</v>
      </c>
      <c r="N18" s="192">
        <v>13.478108000000001</v>
      </c>
      <c r="O18" s="192">
        <v>35</v>
      </c>
      <c r="V18" s="77"/>
      <c r="W18" s="77"/>
    </row>
    <row r="19" spans="1:23" s="178" customFormat="1" ht="24" customHeight="1" x14ac:dyDescent="0.25">
      <c r="A19" s="184" t="s">
        <v>198</v>
      </c>
      <c r="B19" s="184"/>
      <c r="C19" s="185"/>
      <c r="D19" s="185"/>
      <c r="E19" s="184"/>
      <c r="F19" s="184"/>
      <c r="G19" s="184"/>
      <c r="H19" s="184"/>
      <c r="I19" s="184"/>
      <c r="J19" s="184"/>
      <c r="K19" s="184"/>
      <c r="L19" s="184"/>
      <c r="M19" s="184"/>
      <c r="N19" s="184"/>
      <c r="O19" s="186"/>
    </row>
    <row r="20" spans="1:23" s="97" customFormat="1" ht="58.5" customHeight="1" x14ac:dyDescent="0.25">
      <c r="A20" s="82" t="s">
        <v>8</v>
      </c>
      <c r="B20" s="83" t="s">
        <v>7</v>
      </c>
      <c r="C20" s="83" t="s">
        <v>27</v>
      </c>
      <c r="D20" s="83" t="s">
        <v>127</v>
      </c>
      <c r="E20" s="84" t="s">
        <v>33</v>
      </c>
      <c r="F20" s="84" t="s">
        <v>45</v>
      </c>
      <c r="G20" s="83" t="s">
        <v>22</v>
      </c>
      <c r="H20" s="85">
        <v>41090</v>
      </c>
      <c r="I20" s="83" t="s">
        <v>135</v>
      </c>
      <c r="J20" s="187">
        <v>6.571148</v>
      </c>
      <c r="K20" s="187">
        <v>1.8196665400000001</v>
      </c>
      <c r="L20" s="187">
        <v>4.7514814599999999</v>
      </c>
      <c r="M20" s="187"/>
      <c r="N20" s="187"/>
      <c r="O20" s="187"/>
    </row>
    <row r="21" spans="1:23" ht="42" customHeight="1" x14ac:dyDescent="0.25">
      <c r="A21" s="90" t="s">
        <v>8</v>
      </c>
      <c r="B21" s="91" t="s">
        <v>7</v>
      </c>
      <c r="C21" s="91" t="s">
        <v>92</v>
      </c>
      <c r="D21" s="91" t="s">
        <v>128</v>
      </c>
      <c r="E21" s="92" t="s">
        <v>33</v>
      </c>
      <c r="F21" s="91" t="s">
        <v>44</v>
      </c>
      <c r="G21" s="91" t="s">
        <v>22</v>
      </c>
      <c r="H21" s="93">
        <v>41090</v>
      </c>
      <c r="I21" s="91" t="s">
        <v>136</v>
      </c>
      <c r="J21" s="188">
        <v>0.25278499999999998</v>
      </c>
      <c r="K21" s="188">
        <v>0.15380036</v>
      </c>
      <c r="L21" s="188">
        <v>9.8984639999999985E-2</v>
      </c>
      <c r="M21" s="188"/>
      <c r="N21" s="188"/>
      <c r="O21" s="188"/>
      <c r="V21" s="77"/>
      <c r="W21" s="77"/>
    </row>
    <row r="22" spans="1:23" s="97" customFormat="1" ht="51" customHeight="1" x14ac:dyDescent="0.25">
      <c r="A22" s="82" t="s">
        <v>8</v>
      </c>
      <c r="B22" s="83" t="s">
        <v>7</v>
      </c>
      <c r="C22" s="83" t="s">
        <v>27</v>
      </c>
      <c r="D22" s="83" t="s">
        <v>127</v>
      </c>
      <c r="E22" s="84" t="s">
        <v>33</v>
      </c>
      <c r="F22" s="84" t="s">
        <v>45</v>
      </c>
      <c r="G22" s="83" t="s">
        <v>22</v>
      </c>
      <c r="H22" s="85">
        <v>41455</v>
      </c>
      <c r="I22" s="83" t="s">
        <v>137</v>
      </c>
      <c r="J22" s="187">
        <v>5.2490870000000003</v>
      </c>
      <c r="K22" s="187">
        <v>0</v>
      </c>
      <c r="L22" s="187">
        <v>5.2490870000000003</v>
      </c>
      <c r="M22" s="187"/>
      <c r="N22" s="187"/>
      <c r="O22" s="187"/>
    </row>
    <row r="23" spans="1:23" ht="42" customHeight="1" x14ac:dyDescent="0.25">
      <c r="A23" s="90" t="s">
        <v>84</v>
      </c>
      <c r="B23" s="91" t="s">
        <v>7</v>
      </c>
      <c r="C23" s="91" t="s">
        <v>92</v>
      </c>
      <c r="D23" s="91" t="s">
        <v>128</v>
      </c>
      <c r="E23" s="92" t="s">
        <v>33</v>
      </c>
      <c r="F23" s="91" t="s">
        <v>44</v>
      </c>
      <c r="G23" s="91" t="s">
        <v>22</v>
      </c>
      <c r="H23" s="93">
        <v>41455</v>
      </c>
      <c r="I23" s="91" t="s">
        <v>137</v>
      </c>
      <c r="J23" s="188">
        <v>2.6345E-2</v>
      </c>
      <c r="K23" s="188">
        <v>0</v>
      </c>
      <c r="L23" s="188">
        <v>2.6345E-2</v>
      </c>
      <c r="M23" s="188"/>
      <c r="N23" s="188"/>
      <c r="O23" s="188"/>
      <c r="V23" s="77"/>
      <c r="W23" s="77"/>
    </row>
    <row r="24" spans="1:23" s="97" customFormat="1" ht="55.5" customHeight="1" x14ac:dyDescent="0.25">
      <c r="A24" s="82" t="s">
        <v>84</v>
      </c>
      <c r="B24" s="83" t="s">
        <v>7</v>
      </c>
      <c r="C24" s="83" t="s">
        <v>27</v>
      </c>
      <c r="D24" s="83" t="s">
        <v>127</v>
      </c>
      <c r="E24" s="84" t="s">
        <v>33</v>
      </c>
      <c r="F24" s="84" t="s">
        <v>45</v>
      </c>
      <c r="G24" s="83" t="s">
        <v>22</v>
      </c>
      <c r="H24" s="85">
        <v>41820</v>
      </c>
      <c r="I24" s="83" t="s">
        <v>138</v>
      </c>
      <c r="J24" s="187">
        <v>0.92112799999999995</v>
      </c>
      <c r="K24" s="187">
        <v>0</v>
      </c>
      <c r="L24" s="187">
        <v>0.92112799999999995</v>
      </c>
      <c r="M24" s="187"/>
      <c r="N24" s="187"/>
      <c r="O24" s="187"/>
    </row>
    <row r="25" spans="1:23" ht="42" customHeight="1" x14ac:dyDescent="0.25">
      <c r="A25" s="90" t="s">
        <v>8</v>
      </c>
      <c r="B25" s="91" t="s">
        <v>7</v>
      </c>
      <c r="C25" s="91" t="s">
        <v>92</v>
      </c>
      <c r="D25" s="91" t="s">
        <v>128</v>
      </c>
      <c r="E25" s="92" t="s">
        <v>33</v>
      </c>
      <c r="F25" s="91" t="s">
        <v>44</v>
      </c>
      <c r="G25" s="91" t="s">
        <v>22</v>
      </c>
      <c r="H25" s="93">
        <v>41820</v>
      </c>
      <c r="I25" s="91" t="s">
        <v>138</v>
      </c>
      <c r="J25" s="188">
        <v>0.21435199999999999</v>
      </c>
      <c r="K25" s="188">
        <v>0</v>
      </c>
      <c r="L25" s="188">
        <v>0.21435199999999999</v>
      </c>
      <c r="M25" s="188"/>
      <c r="N25" s="188"/>
      <c r="O25" s="188"/>
      <c r="V25" s="77"/>
      <c r="W25" s="77"/>
    </row>
    <row r="26" spans="1:23" s="97" customFormat="1" ht="42" customHeight="1" x14ac:dyDescent="0.25">
      <c r="A26" s="82" t="s">
        <v>8</v>
      </c>
      <c r="B26" s="83" t="s">
        <v>7</v>
      </c>
      <c r="C26" s="83"/>
      <c r="D26" s="83"/>
      <c r="E26" s="84"/>
      <c r="F26" s="84"/>
      <c r="G26" s="83"/>
      <c r="H26" s="85"/>
      <c r="I26" s="83" t="s">
        <v>139</v>
      </c>
      <c r="J26" s="187">
        <v>0</v>
      </c>
      <c r="K26" s="187">
        <v>0</v>
      </c>
      <c r="L26" s="187">
        <v>0</v>
      </c>
      <c r="M26" s="187"/>
      <c r="N26" s="187"/>
      <c r="O26" s="187"/>
    </row>
    <row r="27" spans="1:23" ht="42" customHeight="1" x14ac:dyDescent="0.25">
      <c r="A27" s="90" t="s">
        <v>8</v>
      </c>
      <c r="B27" s="91" t="s">
        <v>7</v>
      </c>
      <c r="C27" s="91"/>
      <c r="D27" s="91"/>
      <c r="E27" s="92"/>
      <c r="F27" s="91"/>
      <c r="G27" s="91"/>
      <c r="H27" s="93"/>
      <c r="I27" s="91" t="s">
        <v>139</v>
      </c>
      <c r="J27" s="193">
        <v>0</v>
      </c>
      <c r="K27" s="193">
        <v>0</v>
      </c>
      <c r="L27" s="193">
        <v>0</v>
      </c>
      <c r="M27" s="193"/>
      <c r="N27" s="193"/>
      <c r="O27" s="193"/>
      <c r="V27" s="77"/>
      <c r="W27" s="77"/>
    </row>
    <row r="28" spans="1:23" s="97" customFormat="1" ht="42" customHeight="1" x14ac:dyDescent="0.25">
      <c r="A28" s="181"/>
      <c r="B28" s="181"/>
      <c r="C28" s="181"/>
      <c r="D28" s="181"/>
      <c r="E28" s="182"/>
      <c r="F28" s="181"/>
      <c r="G28" s="181"/>
      <c r="H28" s="183" t="s">
        <v>206</v>
      </c>
      <c r="I28" s="181"/>
      <c r="J28" s="192">
        <f>SUM(J20:J27)</f>
        <v>13.234844999999998</v>
      </c>
      <c r="K28" s="192">
        <f>SUM(K20:K27)</f>
        <v>1.9734669</v>
      </c>
      <c r="L28" s="192">
        <f>SUM(L20:L27)</f>
        <v>11.2613781</v>
      </c>
      <c r="M28" s="192">
        <v>11.91</v>
      </c>
      <c r="N28" s="192">
        <f>+L28-M28</f>
        <v>-0.6486219000000002</v>
      </c>
      <c r="O28" s="192">
        <v>0</v>
      </c>
    </row>
    <row r="29" spans="1:23" ht="48" customHeight="1" x14ac:dyDescent="0.25">
      <c r="A29" s="901" t="s">
        <v>202</v>
      </c>
      <c r="B29" s="902"/>
      <c r="C29" s="902"/>
      <c r="D29" s="902"/>
      <c r="E29" s="902"/>
      <c r="F29" s="902"/>
      <c r="G29" s="902"/>
      <c r="H29" s="902"/>
      <c r="I29" s="902"/>
      <c r="J29" s="902"/>
      <c r="K29" s="902"/>
      <c r="L29" s="902"/>
      <c r="M29" s="902"/>
      <c r="N29" s="902"/>
      <c r="O29" s="903"/>
      <c r="V29" s="77"/>
      <c r="W29" s="77"/>
    </row>
    <row r="30" spans="1:23" s="97" customFormat="1" ht="66" customHeight="1" x14ac:dyDescent="0.25">
      <c r="A30" s="176" t="s">
        <v>89</v>
      </c>
      <c r="B30" s="176" t="s">
        <v>90</v>
      </c>
      <c r="C30" s="177" t="s">
        <v>0</v>
      </c>
      <c r="D30" s="177" t="s">
        <v>124</v>
      </c>
      <c r="E30" s="176" t="s">
        <v>143</v>
      </c>
      <c r="F30" s="176" t="s">
        <v>144</v>
      </c>
      <c r="G30" s="176" t="s">
        <v>13</v>
      </c>
      <c r="H30" s="176" t="s">
        <v>88</v>
      </c>
      <c r="I30" s="176" t="s">
        <v>12</v>
      </c>
      <c r="J30" s="176" t="s">
        <v>200</v>
      </c>
      <c r="K30" s="176" t="s">
        <v>199</v>
      </c>
      <c r="L30" s="176" t="s">
        <v>201</v>
      </c>
      <c r="M30" s="176" t="s">
        <v>149</v>
      </c>
      <c r="N30" s="176" t="s">
        <v>154</v>
      </c>
      <c r="O30" s="176" t="s">
        <v>205</v>
      </c>
    </row>
    <row r="31" spans="1:23" s="97" customFormat="1" ht="42" customHeight="1" x14ac:dyDescent="0.25">
      <c r="A31" s="90" t="s">
        <v>84</v>
      </c>
      <c r="B31" s="91" t="s">
        <v>9</v>
      </c>
      <c r="C31" s="91" t="s">
        <v>183</v>
      </c>
      <c r="D31" s="91" t="s">
        <v>142</v>
      </c>
      <c r="E31" s="92" t="s">
        <v>142</v>
      </c>
      <c r="F31" s="91" t="s">
        <v>142</v>
      </c>
      <c r="G31" s="91" t="s">
        <v>22</v>
      </c>
      <c r="H31" s="93">
        <v>41449</v>
      </c>
      <c r="I31" s="91" t="s">
        <v>172</v>
      </c>
      <c r="J31" s="179">
        <v>7.0349999999999996E-2</v>
      </c>
      <c r="K31" s="179">
        <v>0</v>
      </c>
      <c r="L31" s="179">
        <v>7.0349999999999996E-2</v>
      </c>
      <c r="M31" s="272">
        <f>1.437*50000/1000000</f>
        <v>7.1849999999999997E-2</v>
      </c>
      <c r="N31" s="179">
        <f>+L31-M31</f>
        <v>-1.5000000000000013E-3</v>
      </c>
      <c r="O31" s="179">
        <v>0</v>
      </c>
      <c r="V31" s="100"/>
      <c r="W31" s="100"/>
    </row>
    <row r="32" spans="1:23" ht="42" customHeight="1" x14ac:dyDescent="0.25">
      <c r="A32" s="98"/>
      <c r="J32" s="144"/>
      <c r="K32" s="144"/>
      <c r="L32" s="144"/>
      <c r="M32" s="144"/>
      <c r="N32" s="144"/>
      <c r="O32" s="144"/>
      <c r="R32" s="76"/>
      <c r="S32" s="76"/>
      <c r="T32" s="76"/>
      <c r="U32" s="76"/>
      <c r="V32" s="123"/>
      <c r="W32" s="123"/>
    </row>
    <row r="33" spans="1:23" ht="42" customHeight="1" x14ac:dyDescent="0.25">
      <c r="R33" s="76"/>
      <c r="S33" s="76"/>
      <c r="T33" s="76"/>
      <c r="U33" s="76"/>
      <c r="V33" s="123"/>
      <c r="W33" s="123"/>
    </row>
    <row r="41" spans="1:23" s="198" customFormat="1" ht="42" customHeight="1" thickBot="1" x14ac:dyDescent="0.3">
      <c r="A41" s="904" t="s">
        <v>207</v>
      </c>
      <c r="B41" s="904"/>
      <c r="C41" s="904"/>
      <c r="D41" s="904"/>
      <c r="E41" s="904"/>
      <c r="F41" s="904"/>
      <c r="G41" s="904"/>
      <c r="H41" s="904"/>
      <c r="I41" s="904"/>
      <c r="J41" s="904"/>
      <c r="K41" s="904"/>
      <c r="L41" s="904"/>
      <c r="M41" s="904"/>
      <c r="N41" s="904"/>
      <c r="O41" s="904"/>
      <c r="V41" s="199"/>
      <c r="W41" s="199"/>
    </row>
    <row r="42" spans="1:23" ht="42" customHeight="1" x14ac:dyDescent="0.3">
      <c r="A42" s="905" t="s">
        <v>140</v>
      </c>
      <c r="B42" s="905"/>
      <c r="C42" s="905"/>
      <c r="D42" s="905"/>
      <c r="E42" s="905"/>
      <c r="F42" s="905"/>
    </row>
    <row r="43" spans="1:23" ht="42" customHeight="1" x14ac:dyDescent="0.3">
      <c r="A43" s="202" t="s">
        <v>0</v>
      </c>
      <c r="B43" s="203" t="s">
        <v>108</v>
      </c>
      <c r="C43" s="203" t="s">
        <v>109</v>
      </c>
      <c r="D43" s="202" t="s">
        <v>173</v>
      </c>
      <c r="E43" s="202" t="s">
        <v>106</v>
      </c>
      <c r="F43" s="202" t="s">
        <v>110</v>
      </c>
      <c r="H43" s="203" t="s">
        <v>208</v>
      </c>
    </row>
    <row r="44" spans="1:23" ht="9" customHeight="1" x14ac:dyDescent="0.25">
      <c r="A44" s="168"/>
      <c r="B44" s="168"/>
      <c r="C44" s="168"/>
      <c r="D44" s="168"/>
      <c r="E44" s="168"/>
      <c r="F44" s="168"/>
    </row>
    <row r="45" spans="1:23" ht="42" customHeight="1" x14ac:dyDescent="0.25">
      <c r="A45" s="211" t="s">
        <v>27</v>
      </c>
      <c r="B45" s="204">
        <v>0</v>
      </c>
      <c r="C45" s="204">
        <v>11.844329760000001</v>
      </c>
      <c r="D45" s="204">
        <v>0</v>
      </c>
      <c r="E45" s="204">
        <f>SUM(B45:D45)</f>
        <v>11.844329760000001</v>
      </c>
      <c r="F45" s="205">
        <f>+E45/$E$52</f>
        <v>3.9125896820043859E-2</v>
      </c>
      <c r="H45" s="144">
        <f>+N28</f>
        <v>-0.6486219000000002</v>
      </c>
    </row>
    <row r="46" spans="1:23" ht="42" customHeight="1" x14ac:dyDescent="0.25">
      <c r="A46" s="211" t="s">
        <v>92</v>
      </c>
      <c r="B46" s="204">
        <v>0</v>
      </c>
      <c r="C46" s="204">
        <v>0.41141679999999997</v>
      </c>
      <c r="D46" s="204">
        <v>0</v>
      </c>
      <c r="E46" s="204">
        <f t="shared" ref="E46:E51" si="1">SUM(B46:D46)</f>
        <v>0.41141679999999997</v>
      </c>
      <c r="F46" s="205">
        <f t="shared" ref="F46:F51" si="2">+E46/$E$52</f>
        <v>1.3590512585350898E-3</v>
      </c>
    </row>
    <row r="47" spans="1:23" ht="42" customHeight="1" x14ac:dyDescent="0.25">
      <c r="A47" s="168" t="s">
        <v>2</v>
      </c>
      <c r="B47" s="204">
        <v>26.7425</v>
      </c>
      <c r="C47" s="204">
        <v>0</v>
      </c>
      <c r="D47" s="204">
        <v>0</v>
      </c>
      <c r="E47" s="204">
        <f t="shared" si="1"/>
        <v>26.7425</v>
      </c>
      <c r="F47" s="205">
        <f t="shared" si="2"/>
        <v>8.8339679569173254E-2</v>
      </c>
      <c r="H47" s="144">
        <f>+N7</f>
        <v>4.796386</v>
      </c>
    </row>
    <row r="48" spans="1:23" ht="42" customHeight="1" x14ac:dyDescent="0.25">
      <c r="A48" s="211" t="s">
        <v>11</v>
      </c>
      <c r="B48" s="204">
        <v>40.875</v>
      </c>
      <c r="C48" s="204">
        <v>0</v>
      </c>
      <c r="D48" s="204">
        <v>0</v>
      </c>
      <c r="E48" s="204">
        <f t="shared" si="1"/>
        <v>40.875</v>
      </c>
      <c r="F48" s="205">
        <f t="shared" si="2"/>
        <v>0.13502419004917104</v>
      </c>
      <c r="H48" s="144">
        <f>+N8</f>
        <v>6.3657329999999996</v>
      </c>
    </row>
    <row r="49" spans="1:8" ht="42" customHeight="1" x14ac:dyDescent="0.25">
      <c r="A49" s="168" t="s">
        <v>1</v>
      </c>
      <c r="B49" s="204">
        <v>159.3775</v>
      </c>
      <c r="C49" s="204">
        <v>0</v>
      </c>
      <c r="D49" s="204">
        <v>0</v>
      </c>
      <c r="E49" s="204">
        <f t="shared" si="1"/>
        <v>159.3775</v>
      </c>
      <c r="F49" s="205">
        <f t="shared" si="2"/>
        <v>0.52647872414829988</v>
      </c>
      <c r="H49" s="144">
        <f>+N5+N6</f>
        <v>21.849111000000001</v>
      </c>
    </row>
    <row r="50" spans="1:8" ht="42" customHeight="1" x14ac:dyDescent="0.25">
      <c r="A50" s="168" t="s">
        <v>4</v>
      </c>
      <c r="B50" s="204">
        <v>0</v>
      </c>
      <c r="C50" s="204">
        <v>63.402437535000054</v>
      </c>
      <c r="D50" s="204">
        <v>0</v>
      </c>
      <c r="E50" s="204">
        <f t="shared" si="1"/>
        <v>63.402437535000054</v>
      </c>
      <c r="F50" s="205">
        <f t="shared" si="2"/>
        <v>0.20944006789740779</v>
      </c>
      <c r="H50" s="144">
        <f>+N18</f>
        <v>13.478108000000001</v>
      </c>
    </row>
    <row r="51" spans="1:8" ht="42" customHeight="1" x14ac:dyDescent="0.4">
      <c r="A51" s="168" t="s">
        <v>183</v>
      </c>
      <c r="B51" s="206">
        <v>0</v>
      </c>
      <c r="C51" s="206">
        <v>0</v>
      </c>
      <c r="D51" s="206">
        <v>7.0349999999999996E-2</v>
      </c>
      <c r="E51" s="206">
        <f t="shared" si="1"/>
        <v>7.0349999999999996E-2</v>
      </c>
      <c r="F51" s="207">
        <f t="shared" si="2"/>
        <v>2.32390257369032E-4</v>
      </c>
      <c r="H51" s="212">
        <f>+N31</f>
        <v>-1.5000000000000013E-3</v>
      </c>
    </row>
    <row r="52" spans="1:8" ht="42" customHeight="1" x14ac:dyDescent="0.4">
      <c r="A52" s="168" t="s">
        <v>106</v>
      </c>
      <c r="B52" s="209">
        <v>226.995</v>
      </c>
      <c r="C52" s="209">
        <f>SUM(C45:C51)</f>
        <v>75.658184095000053</v>
      </c>
      <c r="D52" s="209">
        <f t="shared" ref="D52:H52" si="3">SUM(D45:D51)</f>
        <v>7.0349999999999996E-2</v>
      </c>
      <c r="E52" s="209">
        <f t="shared" si="3"/>
        <v>302.72353409500005</v>
      </c>
      <c r="F52" s="210">
        <f t="shared" si="3"/>
        <v>0.99999999999999989</v>
      </c>
      <c r="H52" s="208">
        <f t="shared" si="3"/>
        <v>45.839216100000002</v>
      </c>
    </row>
    <row r="53" spans="1:8" ht="42" customHeight="1" x14ac:dyDescent="0.25">
      <c r="A53" s="168"/>
      <c r="B53" s="168"/>
      <c r="C53" s="168"/>
      <c r="D53" s="168"/>
      <c r="E53" s="168"/>
      <c r="F53" s="168"/>
    </row>
    <row r="100" spans="1:6" ht="42" customHeight="1" thickBot="1" x14ac:dyDescent="0.3"/>
    <row r="101" spans="1:6" ht="42" customHeight="1" x14ac:dyDescent="0.25">
      <c r="A101" s="894" t="s">
        <v>195</v>
      </c>
      <c r="B101" s="895"/>
      <c r="C101" s="895"/>
      <c r="D101" s="895"/>
      <c r="E101" s="895"/>
      <c r="F101" s="896"/>
    </row>
    <row r="102" spans="1:6" ht="42" customHeight="1" thickBot="1" x14ac:dyDescent="0.3">
      <c r="A102" s="897"/>
      <c r="B102" s="898"/>
      <c r="C102" s="898"/>
      <c r="D102" s="898"/>
      <c r="E102" s="898"/>
      <c r="F102" s="899"/>
    </row>
    <row r="103" spans="1:6" ht="42" customHeight="1" x14ac:dyDescent="0.25">
      <c r="A103" s="162" t="s">
        <v>5</v>
      </c>
      <c r="B103" s="161" t="s">
        <v>6</v>
      </c>
      <c r="C103" s="161" t="s">
        <v>13</v>
      </c>
      <c r="D103" s="161" t="s">
        <v>82</v>
      </c>
      <c r="E103" s="161" t="s">
        <v>115</v>
      </c>
      <c r="F103" s="163" t="s">
        <v>116</v>
      </c>
    </row>
    <row r="104" spans="1:6" ht="55.5" customHeight="1" x14ac:dyDescent="0.25">
      <c r="A104" s="104" t="s">
        <v>91</v>
      </c>
      <c r="B104" s="106" t="s">
        <v>190</v>
      </c>
      <c r="C104" s="106" t="s">
        <v>18</v>
      </c>
      <c r="D104" s="105" t="s">
        <v>8</v>
      </c>
      <c r="E104" s="106" t="s">
        <v>36</v>
      </c>
      <c r="F104" s="107" t="s">
        <v>29</v>
      </c>
    </row>
    <row r="105" spans="1:6" ht="60" customHeight="1" x14ac:dyDescent="0.25">
      <c r="A105" s="104" t="s">
        <v>27</v>
      </c>
      <c r="B105" s="106" t="s">
        <v>192</v>
      </c>
      <c r="C105" s="106" t="s">
        <v>15</v>
      </c>
      <c r="D105" s="105" t="s">
        <v>84</v>
      </c>
      <c r="E105" s="106" t="s">
        <v>35</v>
      </c>
      <c r="F105" s="107" t="s">
        <v>28</v>
      </c>
    </row>
    <row r="106" spans="1:6" ht="56.25" customHeight="1" x14ac:dyDescent="0.25">
      <c r="A106" s="117" t="s">
        <v>125</v>
      </c>
      <c r="B106" s="106" t="s">
        <v>191</v>
      </c>
      <c r="C106" s="106" t="s">
        <v>16</v>
      </c>
      <c r="D106" s="105"/>
      <c r="E106" s="106" t="s">
        <v>46</v>
      </c>
      <c r="F106" s="107" t="s">
        <v>34</v>
      </c>
    </row>
    <row r="107" spans="1:6" ht="42" customHeight="1" x14ac:dyDescent="0.25">
      <c r="A107" s="117" t="s">
        <v>128</v>
      </c>
      <c r="B107" s="106" t="s">
        <v>193</v>
      </c>
      <c r="C107" s="106" t="s">
        <v>20</v>
      </c>
      <c r="D107" s="105"/>
      <c r="E107" s="106" t="s">
        <v>142</v>
      </c>
      <c r="F107" s="107" t="s">
        <v>142</v>
      </c>
    </row>
    <row r="108" spans="1:6" ht="42" customHeight="1" x14ac:dyDescent="0.25">
      <c r="A108" s="104" t="s">
        <v>92</v>
      </c>
      <c r="B108" s="106"/>
      <c r="C108" s="106" t="s">
        <v>19</v>
      </c>
      <c r="D108" s="105"/>
      <c r="E108" s="106" t="s">
        <v>37</v>
      </c>
      <c r="F108" s="107" t="s">
        <v>30</v>
      </c>
    </row>
    <row r="109" spans="1:6" ht="42" customHeight="1" x14ac:dyDescent="0.25">
      <c r="A109" s="117" t="s">
        <v>194</v>
      </c>
      <c r="B109" s="105"/>
      <c r="C109" s="106" t="s">
        <v>21</v>
      </c>
      <c r="D109" s="105"/>
      <c r="E109" s="106" t="s">
        <v>117</v>
      </c>
      <c r="F109" s="107" t="s">
        <v>121</v>
      </c>
    </row>
    <row r="110" spans="1:6" ht="42" customHeight="1" x14ac:dyDescent="0.25">
      <c r="A110" s="104" t="s">
        <v>11</v>
      </c>
      <c r="B110" s="105"/>
      <c r="C110" s="106" t="s">
        <v>14</v>
      </c>
      <c r="D110" s="105"/>
      <c r="E110" s="106" t="s">
        <v>42</v>
      </c>
      <c r="F110" s="107" t="s">
        <v>40</v>
      </c>
    </row>
    <row r="111" spans="1:6" ht="42" customHeight="1" x14ac:dyDescent="0.25">
      <c r="A111" s="104" t="s">
        <v>1</v>
      </c>
      <c r="B111" s="105"/>
      <c r="C111" s="106" t="s">
        <v>17</v>
      </c>
      <c r="D111" s="105"/>
      <c r="E111" s="106" t="s">
        <v>38</v>
      </c>
      <c r="F111" s="107" t="s">
        <v>31</v>
      </c>
    </row>
    <row r="112" spans="1:6" ht="42" customHeight="1" x14ac:dyDescent="0.25">
      <c r="A112" s="104" t="s">
        <v>4</v>
      </c>
      <c r="B112" s="105"/>
      <c r="C112" s="106"/>
      <c r="D112" s="105"/>
      <c r="E112" s="106" t="s">
        <v>41</v>
      </c>
      <c r="F112" s="107" t="s">
        <v>39</v>
      </c>
    </row>
    <row r="113" spans="1:6" ht="42" customHeight="1" x14ac:dyDescent="0.25">
      <c r="A113" s="117" t="s">
        <v>126</v>
      </c>
      <c r="B113" s="105"/>
      <c r="C113" s="106"/>
      <c r="D113" s="105"/>
      <c r="E113" s="106" t="s">
        <v>43</v>
      </c>
      <c r="F113" s="107" t="s">
        <v>120</v>
      </c>
    </row>
    <row r="114" spans="1:6" ht="42" customHeight="1" x14ac:dyDescent="0.25">
      <c r="A114" s="117" t="s">
        <v>183</v>
      </c>
      <c r="B114" s="105"/>
      <c r="C114" s="106"/>
      <c r="D114" s="105"/>
      <c r="E114" s="106" t="s">
        <v>118</v>
      </c>
      <c r="F114" s="107" t="s">
        <v>122</v>
      </c>
    </row>
    <row r="115" spans="1:6" ht="42" customHeight="1" x14ac:dyDescent="0.25">
      <c r="A115" s="117" t="s">
        <v>142</v>
      </c>
      <c r="B115" s="105"/>
      <c r="C115" s="105"/>
      <c r="D115" s="105"/>
      <c r="E115" s="106" t="s">
        <v>37</v>
      </c>
      <c r="F115" s="107" t="s">
        <v>31</v>
      </c>
    </row>
    <row r="116" spans="1:6" ht="42" customHeight="1" x14ac:dyDescent="0.25">
      <c r="A116" s="117"/>
      <c r="B116" s="105"/>
      <c r="C116" s="105"/>
      <c r="D116" s="105"/>
      <c r="E116" s="106" t="s">
        <v>45</v>
      </c>
      <c r="F116" s="107" t="s">
        <v>33</v>
      </c>
    </row>
    <row r="117" spans="1:6" ht="42" customHeight="1" x14ac:dyDescent="0.25">
      <c r="A117" s="117"/>
      <c r="B117" s="105"/>
      <c r="C117" s="105"/>
      <c r="D117" s="105"/>
      <c r="E117" s="106" t="s">
        <v>44</v>
      </c>
      <c r="F117" s="107" t="s">
        <v>32</v>
      </c>
    </row>
    <row r="118" spans="1:6" ht="42" customHeight="1" thickBot="1" x14ac:dyDescent="0.3">
      <c r="A118" s="118"/>
      <c r="B118" s="119"/>
      <c r="C118" s="119"/>
      <c r="D118" s="119"/>
      <c r="E118" s="120" t="s">
        <v>142</v>
      </c>
      <c r="F118" s="121" t="s">
        <v>142</v>
      </c>
    </row>
  </sheetData>
  <sortState xmlns:xlrd2="http://schemas.microsoft.com/office/spreadsheetml/2017/richdata2" ref="C104:C111">
    <sortCondition ref="C104"/>
  </sortState>
  <dataConsolidate/>
  <mergeCells count="7">
    <mergeCell ref="A1:O1"/>
    <mergeCell ref="A41:O41"/>
    <mergeCell ref="A42:F42"/>
    <mergeCell ref="A101:F102"/>
    <mergeCell ref="A29:O29"/>
    <mergeCell ref="A11:O11"/>
    <mergeCell ref="A3:O3"/>
  </mergeCells>
  <dataValidations count="7">
    <dataValidation type="list" allowBlank="1" showInputMessage="1" showErrorMessage="1" sqref="C32:D40" xr:uid="{00000000-0002-0000-2A00-000000000000}">
      <formula1>#REF!</formula1>
    </dataValidation>
    <dataValidation type="list" allowBlank="1" showInputMessage="1" showErrorMessage="1" sqref="C5:D10 C20:D27 C31:D31 C14:D17" xr:uid="{00000000-0002-0000-2A00-000001000000}">
      <formula1>$A$104:$A$116</formula1>
    </dataValidation>
    <dataValidation type="list" allowBlank="1" showInputMessage="1" showErrorMessage="1" sqref="F5:F10 F20:F27 F31 F14:F17" xr:uid="{00000000-0002-0000-2A00-000002000000}">
      <formula1>$E$104:$E$118</formula1>
    </dataValidation>
    <dataValidation type="list" allowBlank="1" showInputMessage="1" showErrorMessage="1" sqref="E5:E10 E20:E27 E31 E14:E17" xr:uid="{00000000-0002-0000-2A00-000003000000}">
      <formula1>$F$104:$F$118</formula1>
    </dataValidation>
    <dataValidation type="list" allowBlank="1" showInputMessage="1" showErrorMessage="1" sqref="B5:B10 B31 B14:B17 B20:B27" xr:uid="{00000000-0002-0000-2A00-000004000000}">
      <formula1>$B$104:$B$108</formula1>
    </dataValidation>
    <dataValidation type="list" allowBlank="1" showInputMessage="1" showErrorMessage="1" sqref="A5:A10 A31:A32 A14:A17 A20:A27" xr:uid="{00000000-0002-0000-2A00-000005000000}">
      <formula1>$D$104:$D$106</formula1>
    </dataValidation>
    <dataValidation type="list" allowBlank="1" showInputMessage="1" showErrorMessage="1" sqref="G5:G10 G20:G27 G31 G14:G17" xr:uid="{00000000-0002-0000-2A00-000006000000}">
      <formula1>$C$104:$C$112</formula1>
    </dataValidation>
  </dataValidations>
  <printOptions horizontalCentered="1"/>
  <pageMargins left="0.25" right="0.25" top="0.75" bottom="0.75" header="0.3" footer="0.3"/>
  <pageSetup scale="10" orientation="landscape" r:id="rId1"/>
  <headerFooter>
    <oddHeader>&amp;C&amp;"Arial,Bold"&amp;18University of Illinois - Derivative Position Report as of June 30, 2011&amp;R&amp;D
&amp;T</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24">
    <tabColor rgb="FFFF0000"/>
    <pageSetUpPr fitToPage="1"/>
  </sheetPr>
  <dimension ref="A1:X118"/>
  <sheetViews>
    <sheetView topLeftCell="D1" zoomScale="74" zoomScaleNormal="74" workbookViewId="0">
      <pane ySplit="2" topLeftCell="A9" activePane="bottomLeft" state="frozen"/>
      <selection activeCell="DD94" sqref="DD94"/>
      <selection pane="bottomLeft" activeCell="DD94" sqref="DD94"/>
    </sheetView>
  </sheetViews>
  <sheetFormatPr defaultColWidth="20.44140625" defaultRowHeight="42" customHeight="1" x14ac:dyDescent="0.25"/>
  <cols>
    <col min="1" max="1" width="26.44140625" style="77" customWidth="1"/>
    <col min="2" max="2" width="20.44140625" style="77"/>
    <col min="3" max="3" width="20.44140625" style="77" customWidth="1"/>
    <col min="4" max="17" width="20.44140625" style="77"/>
    <col min="18" max="18" width="47.6640625" style="77" customWidth="1"/>
    <col min="19" max="19" width="27" style="77" customWidth="1"/>
    <col min="20" max="21" width="20.44140625" style="77"/>
    <col min="22" max="23" width="20.44140625" style="99"/>
    <col min="24" max="16384" width="20.44140625" style="77"/>
  </cols>
  <sheetData>
    <row r="1" spans="1:24" ht="42" customHeight="1" thickBot="1" x14ac:dyDescent="0.3">
      <c r="A1" s="900" t="s">
        <v>189</v>
      </c>
      <c r="B1" s="900"/>
      <c r="C1" s="900"/>
      <c r="D1" s="900"/>
      <c r="E1" s="900"/>
      <c r="F1" s="900"/>
      <c r="G1" s="900"/>
      <c r="H1" s="900"/>
      <c r="I1" s="900"/>
      <c r="J1" s="900"/>
      <c r="K1" s="900"/>
      <c r="L1" s="900"/>
      <c r="M1" s="900"/>
      <c r="N1" s="900"/>
      <c r="O1" s="900"/>
      <c r="Q1" s="76"/>
      <c r="R1" s="76"/>
      <c r="S1" s="76"/>
      <c r="T1" s="76"/>
      <c r="U1" s="76"/>
      <c r="V1" s="76"/>
      <c r="W1" s="76"/>
      <c r="X1" s="76"/>
    </row>
    <row r="2" spans="1:24" ht="30" customHeight="1" x14ac:dyDescent="0.25">
      <c r="A2" s="224"/>
      <c r="B2" s="224"/>
      <c r="C2" s="171"/>
      <c r="D2" s="171"/>
      <c r="E2" s="171"/>
      <c r="F2" s="171"/>
      <c r="G2" s="171"/>
      <c r="H2" s="171"/>
      <c r="I2" s="171"/>
      <c r="J2" s="171"/>
      <c r="K2" s="171"/>
      <c r="L2" s="171"/>
      <c r="M2" s="171"/>
      <c r="N2" s="171"/>
      <c r="O2" s="171"/>
      <c r="Q2" s="76"/>
      <c r="R2" s="76"/>
      <c r="S2" s="76"/>
      <c r="T2" s="76"/>
      <c r="U2" s="76"/>
      <c r="V2" s="76"/>
      <c r="W2" s="76"/>
      <c r="X2" s="76"/>
    </row>
    <row r="3" spans="1:24" ht="42" customHeight="1" x14ac:dyDescent="0.25">
      <c r="A3" s="901" t="s">
        <v>204</v>
      </c>
      <c r="B3" s="902"/>
      <c r="C3" s="902"/>
      <c r="D3" s="902"/>
      <c r="E3" s="902"/>
      <c r="F3" s="902"/>
      <c r="G3" s="902"/>
      <c r="H3" s="902"/>
      <c r="I3" s="902"/>
      <c r="J3" s="902"/>
      <c r="K3" s="902"/>
      <c r="L3" s="902"/>
      <c r="M3" s="902"/>
      <c r="N3" s="902"/>
      <c r="O3" s="903"/>
      <c r="P3" s="75"/>
      <c r="Q3" s="76"/>
      <c r="R3" s="76"/>
      <c r="S3" s="76"/>
      <c r="T3" s="76"/>
      <c r="U3" s="76"/>
      <c r="V3" s="76"/>
      <c r="W3" s="76"/>
      <c r="X3" s="76"/>
    </row>
    <row r="4" spans="1:24" s="75" customFormat="1" ht="66.75" customHeight="1" x14ac:dyDescent="0.25">
      <c r="A4" s="176" t="s">
        <v>89</v>
      </c>
      <c r="B4" s="176" t="s">
        <v>90</v>
      </c>
      <c r="C4" s="177" t="s">
        <v>0</v>
      </c>
      <c r="D4" s="177" t="s">
        <v>124</v>
      </c>
      <c r="E4" s="176" t="s">
        <v>143</v>
      </c>
      <c r="F4" s="176" t="s">
        <v>144</v>
      </c>
      <c r="G4" s="176" t="s">
        <v>13</v>
      </c>
      <c r="H4" s="176" t="s">
        <v>88</v>
      </c>
      <c r="I4" s="176" t="s">
        <v>12</v>
      </c>
      <c r="J4" s="176" t="s">
        <v>158</v>
      </c>
      <c r="K4" s="176" t="s">
        <v>148</v>
      </c>
      <c r="L4" s="176" t="s">
        <v>153</v>
      </c>
      <c r="M4" s="176" t="s">
        <v>104</v>
      </c>
      <c r="N4" s="176" t="s">
        <v>154</v>
      </c>
      <c r="O4" s="176" t="s">
        <v>205</v>
      </c>
      <c r="P4" s="77"/>
      <c r="Q4" s="76"/>
      <c r="R4" s="76"/>
      <c r="S4" s="76"/>
      <c r="T4" s="76"/>
      <c r="U4" s="76"/>
      <c r="V4" s="76"/>
      <c r="W4" s="76"/>
      <c r="X4" s="76"/>
    </row>
    <row r="5" spans="1:24" ht="42" customHeight="1" x14ac:dyDescent="0.25">
      <c r="A5" s="82" t="s">
        <v>84</v>
      </c>
      <c r="B5" s="83" t="s">
        <v>3</v>
      </c>
      <c r="C5" s="83" t="s">
        <v>1</v>
      </c>
      <c r="D5" s="83" t="s">
        <v>1</v>
      </c>
      <c r="E5" s="84" t="s">
        <v>40</v>
      </c>
      <c r="F5" s="84" t="s">
        <v>42</v>
      </c>
      <c r="G5" s="83" t="s">
        <v>14</v>
      </c>
      <c r="H5" s="85">
        <v>44423</v>
      </c>
      <c r="I5" s="83" t="s">
        <v>23</v>
      </c>
      <c r="J5" s="173">
        <v>143.66499999999999</v>
      </c>
      <c r="K5" s="173">
        <v>132.12</v>
      </c>
      <c r="L5" s="173">
        <f>N5-M5</f>
        <v>14.299166</v>
      </c>
      <c r="M5" s="173">
        <v>2.1510790000000002</v>
      </c>
      <c r="N5" s="187">
        <v>16.450244999999999</v>
      </c>
      <c r="O5" s="187"/>
      <c r="V5" s="77"/>
      <c r="W5" s="77"/>
    </row>
    <row r="6" spans="1:24" ht="42" customHeight="1" x14ac:dyDescent="0.25">
      <c r="A6" s="90" t="s">
        <v>84</v>
      </c>
      <c r="B6" s="91" t="s">
        <v>3</v>
      </c>
      <c r="C6" s="91" t="s">
        <v>1</v>
      </c>
      <c r="D6" s="91" t="s">
        <v>1</v>
      </c>
      <c r="E6" s="92" t="s">
        <v>40</v>
      </c>
      <c r="F6" s="91" t="s">
        <v>42</v>
      </c>
      <c r="G6" s="91" t="s">
        <v>14</v>
      </c>
      <c r="H6" s="93">
        <v>44576</v>
      </c>
      <c r="I6" s="91" t="s">
        <v>24</v>
      </c>
      <c r="J6" s="174">
        <v>27.395</v>
      </c>
      <c r="K6" s="174">
        <v>27.2575</v>
      </c>
      <c r="L6" s="174">
        <f>N6-M6</f>
        <v>4.2734050000000003</v>
      </c>
      <c r="M6" s="174">
        <v>6.8978999999999999E-2</v>
      </c>
      <c r="N6" s="188">
        <v>4.342384</v>
      </c>
      <c r="O6" s="188"/>
      <c r="V6" s="77"/>
      <c r="W6" s="77"/>
    </row>
    <row r="7" spans="1:24" ht="42" customHeight="1" x14ac:dyDescent="0.25">
      <c r="A7" s="82" t="s">
        <v>84</v>
      </c>
      <c r="B7" s="83" t="s">
        <v>3</v>
      </c>
      <c r="C7" s="83" t="s">
        <v>194</v>
      </c>
      <c r="D7" s="83" t="s">
        <v>194</v>
      </c>
      <c r="E7" s="84" t="s">
        <v>31</v>
      </c>
      <c r="F7" s="84" t="s">
        <v>36</v>
      </c>
      <c r="G7" s="83" t="s">
        <v>14</v>
      </c>
      <c r="H7" s="85">
        <v>44576</v>
      </c>
      <c r="I7" s="83" t="s">
        <v>24</v>
      </c>
      <c r="J7" s="173">
        <v>26.85</v>
      </c>
      <c r="K7" s="173">
        <v>26.7425</v>
      </c>
      <c r="L7" s="173">
        <f>N7-M7</f>
        <v>4.1931080000000005</v>
      </c>
      <c r="M7" s="173">
        <v>6.7676E-2</v>
      </c>
      <c r="N7" s="187">
        <v>4.2607840000000001</v>
      </c>
      <c r="O7" s="187"/>
      <c r="V7" s="77"/>
      <c r="W7" s="77"/>
    </row>
    <row r="8" spans="1:24" ht="42" customHeight="1" x14ac:dyDescent="0.25">
      <c r="A8" s="90" t="s">
        <v>84</v>
      </c>
      <c r="B8" s="91" t="s">
        <v>3</v>
      </c>
      <c r="C8" s="91" t="s">
        <v>11</v>
      </c>
      <c r="D8" s="91" t="s">
        <v>125</v>
      </c>
      <c r="E8" s="92" t="s">
        <v>39</v>
      </c>
      <c r="F8" s="91" t="s">
        <v>38</v>
      </c>
      <c r="G8" s="91" t="s">
        <v>14</v>
      </c>
      <c r="H8" s="93">
        <v>46296</v>
      </c>
      <c r="I8" s="91" t="s">
        <v>25</v>
      </c>
      <c r="J8" s="174">
        <v>40.875</v>
      </c>
      <c r="K8" s="174">
        <v>40.875</v>
      </c>
      <c r="L8" s="174">
        <f>N8-M8</f>
        <v>5.154998</v>
      </c>
      <c r="M8" s="174">
        <v>9.2900999999999997E-2</v>
      </c>
      <c r="N8" s="188">
        <v>5.2478990000000003</v>
      </c>
      <c r="O8" s="188"/>
      <c r="V8" s="77"/>
      <c r="W8" s="77"/>
    </row>
    <row r="9" spans="1:24" s="97" customFormat="1" ht="42" customHeight="1" x14ac:dyDescent="0.25">
      <c r="A9" s="98"/>
      <c r="B9" s="111"/>
      <c r="C9" s="111"/>
      <c r="D9" s="111"/>
      <c r="E9" s="123"/>
      <c r="F9" s="111"/>
      <c r="G9" s="111"/>
      <c r="H9" s="114"/>
      <c r="I9" s="111"/>
      <c r="J9" s="189"/>
      <c r="K9" s="189"/>
      <c r="L9" s="189"/>
      <c r="M9" s="189"/>
      <c r="N9" s="190"/>
      <c r="O9" s="190"/>
    </row>
    <row r="10" spans="1:24" ht="42" customHeight="1" x14ac:dyDescent="0.25">
      <c r="A10" s="90"/>
      <c r="B10" s="91"/>
      <c r="C10" s="91"/>
      <c r="D10" s="91"/>
      <c r="E10" s="92"/>
      <c r="F10" s="91"/>
      <c r="G10" s="91"/>
      <c r="H10" s="93"/>
      <c r="I10" s="91"/>
      <c r="J10" s="174"/>
      <c r="K10" s="174"/>
      <c r="L10" s="174"/>
      <c r="M10" s="174"/>
      <c r="N10" s="188"/>
      <c r="O10" s="188"/>
      <c r="V10" s="77"/>
      <c r="W10" s="77"/>
    </row>
    <row r="11" spans="1:24" s="97" customFormat="1" ht="42" customHeight="1" x14ac:dyDescent="0.25">
      <c r="A11" s="901" t="s">
        <v>203</v>
      </c>
      <c r="B11" s="902"/>
      <c r="C11" s="902"/>
      <c r="D11" s="902"/>
      <c r="E11" s="902"/>
      <c r="F11" s="902"/>
      <c r="G11" s="902"/>
      <c r="H11" s="902"/>
      <c r="I11" s="902"/>
      <c r="J11" s="902"/>
      <c r="K11" s="902"/>
      <c r="L11" s="902"/>
      <c r="M11" s="902"/>
      <c r="N11" s="902"/>
      <c r="O11" s="903"/>
    </row>
    <row r="12" spans="1:24" s="97" customFormat="1" ht="74.25" customHeight="1" x14ac:dyDescent="0.25">
      <c r="A12" s="176" t="s">
        <v>89</v>
      </c>
      <c r="B12" s="176" t="s">
        <v>90</v>
      </c>
      <c r="C12" s="177" t="s">
        <v>0</v>
      </c>
      <c r="D12" s="180" t="s">
        <v>124</v>
      </c>
      <c r="E12" s="176" t="s">
        <v>143</v>
      </c>
      <c r="F12" s="176" t="s">
        <v>144</v>
      </c>
      <c r="G12" s="176" t="s">
        <v>13</v>
      </c>
      <c r="H12" s="176" t="s">
        <v>88</v>
      </c>
      <c r="I12" s="176" t="s">
        <v>12</v>
      </c>
      <c r="J12" s="176" t="s">
        <v>150</v>
      </c>
      <c r="K12" s="176" t="s">
        <v>151</v>
      </c>
      <c r="L12" s="176" t="s">
        <v>157</v>
      </c>
      <c r="M12" s="176" t="s">
        <v>149</v>
      </c>
      <c r="N12" s="176" t="s">
        <v>154</v>
      </c>
      <c r="O12" s="176" t="s">
        <v>205</v>
      </c>
    </row>
    <row r="13" spans="1:24" s="178" customFormat="1" ht="24" customHeight="1" x14ac:dyDescent="0.25">
      <c r="A13" s="184" t="s">
        <v>197</v>
      </c>
      <c r="B13" s="184"/>
      <c r="C13" s="185"/>
      <c r="D13" s="185"/>
      <c r="E13" s="184"/>
      <c r="F13" s="184"/>
      <c r="G13" s="184"/>
      <c r="H13" s="184"/>
      <c r="I13" s="184"/>
      <c r="J13" s="184"/>
      <c r="K13" s="184"/>
      <c r="L13" s="184"/>
      <c r="M13" s="184"/>
      <c r="N13" s="184"/>
      <c r="O13" s="186"/>
    </row>
    <row r="14" spans="1:24" ht="42" customHeight="1" x14ac:dyDescent="0.25">
      <c r="A14" s="90" t="s">
        <v>84</v>
      </c>
      <c r="B14" s="91" t="s">
        <v>7</v>
      </c>
      <c r="C14" s="91" t="s">
        <v>4</v>
      </c>
      <c r="D14" s="91" t="s">
        <v>126</v>
      </c>
      <c r="E14" s="92" t="s">
        <v>30</v>
      </c>
      <c r="F14" s="91" t="s">
        <v>142</v>
      </c>
      <c r="G14" s="91" t="s">
        <v>22</v>
      </c>
      <c r="H14" s="93">
        <v>41090</v>
      </c>
      <c r="I14" s="91" t="s">
        <v>176</v>
      </c>
      <c r="J14" s="188">
        <v>33.909262530000021</v>
      </c>
      <c r="K14" s="188">
        <v>-1.8</v>
      </c>
      <c r="L14" s="188">
        <f>+J14+K14</f>
        <v>32.109262530000024</v>
      </c>
      <c r="M14" s="188"/>
      <c r="N14" s="188"/>
      <c r="O14" s="188"/>
      <c r="V14" s="77"/>
      <c r="W14" s="77"/>
    </row>
    <row r="15" spans="1:24" ht="42" customHeight="1" x14ac:dyDescent="0.25">
      <c r="A15" s="82" t="s">
        <v>8</v>
      </c>
      <c r="B15" s="83" t="s">
        <v>7</v>
      </c>
      <c r="C15" s="83" t="s">
        <v>4</v>
      </c>
      <c r="D15" s="83" t="s">
        <v>126</v>
      </c>
      <c r="E15" s="84" t="s">
        <v>30</v>
      </c>
      <c r="F15" s="84" t="s">
        <v>142</v>
      </c>
      <c r="G15" s="83" t="s">
        <v>22</v>
      </c>
      <c r="H15" s="85">
        <v>41455</v>
      </c>
      <c r="I15" s="83" t="s">
        <v>131</v>
      </c>
      <c r="J15" s="187">
        <v>25.504761491000021</v>
      </c>
      <c r="K15" s="187">
        <v>0</v>
      </c>
      <c r="L15" s="187">
        <f t="shared" ref="L15:L16" si="0">+J15+K15</f>
        <v>25.504761491000021</v>
      </c>
      <c r="M15" s="187"/>
      <c r="N15" s="187"/>
      <c r="O15" s="187"/>
      <c r="V15" s="77"/>
      <c r="W15" s="77"/>
    </row>
    <row r="16" spans="1:24" ht="42" customHeight="1" x14ac:dyDescent="0.25">
      <c r="A16" s="90" t="s">
        <v>8</v>
      </c>
      <c r="B16" s="91" t="s">
        <v>7</v>
      </c>
      <c r="C16" s="91" t="s">
        <v>4</v>
      </c>
      <c r="D16" s="91" t="s">
        <v>126</v>
      </c>
      <c r="E16" s="92" t="s">
        <v>30</v>
      </c>
      <c r="F16" s="91" t="s">
        <v>142</v>
      </c>
      <c r="G16" s="91" t="s">
        <v>22</v>
      </c>
      <c r="H16" s="93">
        <v>41820</v>
      </c>
      <c r="I16" s="91" t="s">
        <v>132</v>
      </c>
      <c r="J16" s="188">
        <v>5.7884135140000037</v>
      </c>
      <c r="K16" s="188">
        <v>0</v>
      </c>
      <c r="L16" s="188">
        <f t="shared" si="0"/>
        <v>5.7884135140000037</v>
      </c>
      <c r="M16" s="188"/>
      <c r="N16" s="188"/>
      <c r="O16" s="188"/>
      <c r="V16" s="77"/>
      <c r="W16" s="77"/>
    </row>
    <row r="17" spans="1:23" ht="42" customHeight="1" x14ac:dyDescent="0.25">
      <c r="A17" s="82"/>
      <c r="B17" s="83"/>
      <c r="C17" s="83"/>
      <c r="D17" s="83"/>
      <c r="E17" s="84"/>
      <c r="F17" s="84"/>
      <c r="G17" s="83"/>
      <c r="H17" s="85"/>
      <c r="I17" s="83" t="s">
        <v>133</v>
      </c>
      <c r="J17" s="191">
        <v>0</v>
      </c>
      <c r="K17" s="191">
        <v>0</v>
      </c>
      <c r="L17" s="191">
        <v>0</v>
      </c>
      <c r="M17" s="187"/>
      <c r="N17" s="187"/>
      <c r="O17" s="187"/>
      <c r="V17" s="77"/>
      <c r="W17" s="77"/>
    </row>
    <row r="18" spans="1:23" ht="42" customHeight="1" x14ac:dyDescent="0.25">
      <c r="A18" s="181"/>
      <c r="B18" s="181"/>
      <c r="C18" s="181"/>
      <c r="D18" s="181"/>
      <c r="E18" s="182"/>
      <c r="F18" s="181"/>
      <c r="G18" s="181"/>
      <c r="H18" s="183" t="s">
        <v>206</v>
      </c>
      <c r="I18" s="181"/>
      <c r="J18" s="192">
        <f>SUM(J14:J17)</f>
        <v>65.202437535000044</v>
      </c>
      <c r="K18" s="192">
        <f>SUM(K14:K17)</f>
        <v>-1.8</v>
      </c>
      <c r="L18" s="192">
        <f>SUM(L14:L17)</f>
        <v>63.402437535000054</v>
      </c>
      <c r="M18" s="192">
        <v>49.2</v>
      </c>
      <c r="N18" s="192">
        <f>+L18-M18</f>
        <v>14.202437535000051</v>
      </c>
      <c r="O18" s="192">
        <v>35</v>
      </c>
      <c r="V18" s="77"/>
      <c r="W18" s="77"/>
    </row>
    <row r="19" spans="1:23" s="178" customFormat="1" ht="24" customHeight="1" x14ac:dyDescent="0.25">
      <c r="A19" s="184" t="s">
        <v>198</v>
      </c>
      <c r="B19" s="184"/>
      <c r="C19" s="185"/>
      <c r="D19" s="185"/>
      <c r="E19" s="184"/>
      <c r="F19" s="184"/>
      <c r="G19" s="184"/>
      <c r="H19" s="184"/>
      <c r="I19" s="184"/>
      <c r="J19" s="184"/>
      <c r="K19" s="184"/>
      <c r="L19" s="184"/>
      <c r="M19" s="184"/>
      <c r="N19" s="184"/>
      <c r="O19" s="186"/>
    </row>
    <row r="20" spans="1:23" s="97" customFormat="1" ht="58.5" customHeight="1" x14ac:dyDescent="0.25">
      <c r="A20" s="82" t="s">
        <v>8</v>
      </c>
      <c r="B20" s="83" t="s">
        <v>7</v>
      </c>
      <c r="C20" s="83" t="s">
        <v>27</v>
      </c>
      <c r="D20" s="83" t="s">
        <v>127</v>
      </c>
      <c r="E20" s="84" t="s">
        <v>33</v>
      </c>
      <c r="F20" s="84" t="s">
        <v>45</v>
      </c>
      <c r="G20" s="83" t="s">
        <v>22</v>
      </c>
      <c r="H20" s="85">
        <v>41090</v>
      </c>
      <c r="I20" s="83" t="s">
        <v>135</v>
      </c>
      <c r="J20" s="187">
        <v>6.571148</v>
      </c>
      <c r="K20" s="187">
        <v>-0.89703323999999995</v>
      </c>
      <c r="L20" s="187">
        <f t="shared" ref="L20:L27" si="1">+J20+K20</f>
        <v>5.6741147600000001</v>
      </c>
      <c r="M20" s="187"/>
      <c r="N20" s="187"/>
      <c r="O20" s="187"/>
    </row>
    <row r="21" spans="1:23" ht="42" customHeight="1" x14ac:dyDescent="0.25">
      <c r="A21" s="90" t="s">
        <v>8</v>
      </c>
      <c r="B21" s="91" t="s">
        <v>7</v>
      </c>
      <c r="C21" s="91" t="s">
        <v>92</v>
      </c>
      <c r="D21" s="91" t="s">
        <v>128</v>
      </c>
      <c r="E21" s="92" t="s">
        <v>33</v>
      </c>
      <c r="F21" s="91" t="s">
        <v>44</v>
      </c>
      <c r="G21" s="91" t="s">
        <v>22</v>
      </c>
      <c r="H21" s="93">
        <v>41090</v>
      </c>
      <c r="I21" s="91" t="s">
        <v>136</v>
      </c>
      <c r="J21" s="188">
        <v>0.25278499999999998</v>
      </c>
      <c r="K21" s="188">
        <v>-8.2065200000000005E-2</v>
      </c>
      <c r="L21" s="188">
        <f t="shared" si="1"/>
        <v>0.17071979999999998</v>
      </c>
      <c r="M21" s="188"/>
      <c r="N21" s="188"/>
      <c r="O21" s="188"/>
      <c r="V21" s="77"/>
      <c r="W21" s="77"/>
    </row>
    <row r="22" spans="1:23" s="97" customFormat="1" ht="51" customHeight="1" x14ac:dyDescent="0.25">
      <c r="A22" s="82" t="s">
        <v>8</v>
      </c>
      <c r="B22" s="83" t="s">
        <v>7</v>
      </c>
      <c r="C22" s="83" t="s">
        <v>27</v>
      </c>
      <c r="D22" s="83" t="s">
        <v>127</v>
      </c>
      <c r="E22" s="84" t="s">
        <v>33</v>
      </c>
      <c r="F22" s="84" t="s">
        <v>45</v>
      </c>
      <c r="G22" s="83" t="s">
        <v>22</v>
      </c>
      <c r="H22" s="85">
        <v>41455</v>
      </c>
      <c r="I22" s="83" t="s">
        <v>137</v>
      </c>
      <c r="J22" s="187">
        <v>5.2490870000000003</v>
      </c>
      <c r="K22" s="187">
        <v>0</v>
      </c>
      <c r="L22" s="187">
        <f t="shared" si="1"/>
        <v>5.2490870000000003</v>
      </c>
      <c r="M22" s="187"/>
      <c r="N22" s="187"/>
      <c r="O22" s="187"/>
    </row>
    <row r="23" spans="1:23" ht="42" customHeight="1" x14ac:dyDescent="0.25">
      <c r="A23" s="90" t="s">
        <v>84</v>
      </c>
      <c r="B23" s="91" t="s">
        <v>7</v>
      </c>
      <c r="C23" s="91" t="s">
        <v>92</v>
      </c>
      <c r="D23" s="91" t="s">
        <v>128</v>
      </c>
      <c r="E23" s="92" t="s">
        <v>33</v>
      </c>
      <c r="F23" s="91" t="s">
        <v>44</v>
      </c>
      <c r="G23" s="91" t="s">
        <v>22</v>
      </c>
      <c r="H23" s="93">
        <v>41455</v>
      </c>
      <c r="I23" s="91" t="s">
        <v>137</v>
      </c>
      <c r="J23" s="188">
        <v>2.6345E-2</v>
      </c>
      <c r="K23" s="188">
        <v>0</v>
      </c>
      <c r="L23" s="188">
        <f t="shared" si="1"/>
        <v>2.6345E-2</v>
      </c>
      <c r="M23" s="188"/>
      <c r="N23" s="188"/>
      <c r="O23" s="188"/>
      <c r="V23" s="77"/>
      <c r="W23" s="77"/>
    </row>
    <row r="24" spans="1:23" s="97" customFormat="1" ht="55.5" customHeight="1" x14ac:dyDescent="0.25">
      <c r="A24" s="82" t="s">
        <v>84</v>
      </c>
      <c r="B24" s="83" t="s">
        <v>7</v>
      </c>
      <c r="C24" s="83" t="s">
        <v>27</v>
      </c>
      <c r="D24" s="83" t="s">
        <v>127</v>
      </c>
      <c r="E24" s="84" t="s">
        <v>33</v>
      </c>
      <c r="F24" s="84" t="s">
        <v>45</v>
      </c>
      <c r="G24" s="83" t="s">
        <v>22</v>
      </c>
      <c r="H24" s="85">
        <v>41820</v>
      </c>
      <c r="I24" s="83" t="s">
        <v>138</v>
      </c>
      <c r="J24" s="187">
        <v>0.92112799999999995</v>
      </c>
      <c r="K24" s="187">
        <v>0</v>
      </c>
      <c r="L24" s="187">
        <f t="shared" si="1"/>
        <v>0.92112799999999995</v>
      </c>
      <c r="M24" s="187"/>
      <c r="N24" s="187"/>
      <c r="O24" s="187"/>
    </row>
    <row r="25" spans="1:23" ht="42" customHeight="1" x14ac:dyDescent="0.25">
      <c r="A25" s="90" t="s">
        <v>8</v>
      </c>
      <c r="B25" s="91" t="s">
        <v>7</v>
      </c>
      <c r="C25" s="91" t="s">
        <v>92</v>
      </c>
      <c r="D25" s="91" t="s">
        <v>128</v>
      </c>
      <c r="E25" s="92" t="s">
        <v>33</v>
      </c>
      <c r="F25" s="91" t="s">
        <v>44</v>
      </c>
      <c r="G25" s="91" t="s">
        <v>22</v>
      </c>
      <c r="H25" s="93">
        <v>41820</v>
      </c>
      <c r="I25" s="91" t="s">
        <v>138</v>
      </c>
      <c r="J25" s="188">
        <v>0.21435199999999999</v>
      </c>
      <c r="K25" s="188">
        <v>0</v>
      </c>
      <c r="L25" s="188">
        <f t="shared" si="1"/>
        <v>0.21435199999999999</v>
      </c>
      <c r="M25" s="188"/>
      <c r="N25" s="188"/>
      <c r="O25" s="188"/>
      <c r="V25" s="77"/>
      <c r="W25" s="77"/>
    </row>
    <row r="26" spans="1:23" s="97" customFormat="1" ht="42" customHeight="1" x14ac:dyDescent="0.25">
      <c r="A26" s="82" t="s">
        <v>8</v>
      </c>
      <c r="B26" s="83" t="s">
        <v>7</v>
      </c>
      <c r="C26" s="83"/>
      <c r="D26" s="83"/>
      <c r="E26" s="84"/>
      <c r="F26" s="84"/>
      <c r="G26" s="83"/>
      <c r="H26" s="85"/>
      <c r="I26" s="83" t="s">
        <v>139</v>
      </c>
      <c r="J26" s="187">
        <v>0</v>
      </c>
      <c r="K26" s="187">
        <v>0</v>
      </c>
      <c r="L26" s="187">
        <f t="shared" si="1"/>
        <v>0</v>
      </c>
      <c r="M26" s="187"/>
      <c r="N26" s="187"/>
      <c r="O26" s="187"/>
    </row>
    <row r="27" spans="1:23" ht="42" customHeight="1" x14ac:dyDescent="0.25">
      <c r="A27" s="90" t="s">
        <v>8</v>
      </c>
      <c r="B27" s="91" t="s">
        <v>7</v>
      </c>
      <c r="C27" s="91"/>
      <c r="D27" s="91"/>
      <c r="E27" s="92"/>
      <c r="F27" s="91"/>
      <c r="G27" s="91"/>
      <c r="H27" s="93"/>
      <c r="I27" s="91" t="s">
        <v>139</v>
      </c>
      <c r="J27" s="193">
        <v>0</v>
      </c>
      <c r="K27" s="193">
        <v>0</v>
      </c>
      <c r="L27" s="193">
        <f t="shared" si="1"/>
        <v>0</v>
      </c>
      <c r="M27" s="193"/>
      <c r="N27" s="193"/>
      <c r="O27" s="193"/>
      <c r="V27" s="77"/>
      <c r="W27" s="77"/>
    </row>
    <row r="28" spans="1:23" s="97" customFormat="1" ht="42" customHeight="1" x14ac:dyDescent="0.25">
      <c r="A28" s="181"/>
      <c r="B28" s="181"/>
      <c r="C28" s="181"/>
      <c r="D28" s="181"/>
      <c r="E28" s="182"/>
      <c r="F28" s="181"/>
      <c r="G28" s="181"/>
      <c r="H28" s="183" t="s">
        <v>206</v>
      </c>
      <c r="I28" s="181"/>
      <c r="J28" s="192">
        <f>SUM(J20:J27)</f>
        <v>13.234844999999998</v>
      </c>
      <c r="K28" s="192">
        <f>SUM(K20:K27)</f>
        <v>-0.97909844000000001</v>
      </c>
      <c r="L28" s="192">
        <f>SUM(L20:L27)</f>
        <v>12.255746559999999</v>
      </c>
      <c r="M28" s="192">
        <v>12.7</v>
      </c>
      <c r="N28" s="192">
        <f>+L28-M28</f>
        <v>-0.44425344000000067</v>
      </c>
      <c r="O28" s="192" t="s">
        <v>210</v>
      </c>
    </row>
    <row r="29" spans="1:23" ht="48" customHeight="1" x14ac:dyDescent="0.25">
      <c r="A29" s="901" t="s">
        <v>202</v>
      </c>
      <c r="B29" s="902"/>
      <c r="C29" s="902"/>
      <c r="D29" s="902"/>
      <c r="E29" s="902"/>
      <c r="F29" s="902"/>
      <c r="G29" s="902"/>
      <c r="H29" s="902"/>
      <c r="I29" s="902"/>
      <c r="J29" s="902"/>
      <c r="K29" s="902"/>
      <c r="L29" s="902"/>
      <c r="M29" s="902"/>
      <c r="N29" s="902"/>
      <c r="O29" s="903"/>
      <c r="V29" s="77"/>
      <c r="W29" s="77"/>
    </row>
    <row r="30" spans="1:23" s="97" customFormat="1" ht="66" customHeight="1" x14ac:dyDescent="0.25">
      <c r="A30" s="176" t="s">
        <v>89</v>
      </c>
      <c r="B30" s="176" t="s">
        <v>90</v>
      </c>
      <c r="C30" s="177" t="s">
        <v>0</v>
      </c>
      <c r="D30" s="177" t="s">
        <v>124</v>
      </c>
      <c r="E30" s="176" t="s">
        <v>143</v>
      </c>
      <c r="F30" s="176" t="s">
        <v>144</v>
      </c>
      <c r="G30" s="176" t="s">
        <v>13</v>
      </c>
      <c r="H30" s="176" t="s">
        <v>88</v>
      </c>
      <c r="I30" s="176" t="s">
        <v>12</v>
      </c>
      <c r="J30" s="176" t="s">
        <v>200</v>
      </c>
      <c r="K30" s="176" t="s">
        <v>199</v>
      </c>
      <c r="L30" s="176" t="s">
        <v>201</v>
      </c>
      <c r="M30" s="176" t="s">
        <v>149</v>
      </c>
      <c r="N30" s="176" t="s">
        <v>154</v>
      </c>
      <c r="O30" s="176" t="s">
        <v>205</v>
      </c>
    </row>
    <row r="31" spans="1:23" s="97" customFormat="1" ht="42" customHeight="1" x14ac:dyDescent="0.25">
      <c r="A31" s="90" t="s">
        <v>84</v>
      </c>
      <c r="B31" s="91" t="s">
        <v>9</v>
      </c>
      <c r="C31" s="91" t="s">
        <v>183</v>
      </c>
      <c r="D31" s="91" t="s">
        <v>142</v>
      </c>
      <c r="E31" s="92" t="s">
        <v>142</v>
      </c>
      <c r="F31" s="91" t="s">
        <v>142</v>
      </c>
      <c r="G31" s="91" t="s">
        <v>22</v>
      </c>
      <c r="H31" s="93">
        <v>41449</v>
      </c>
      <c r="I31" s="91" t="s">
        <v>172</v>
      </c>
      <c r="J31" s="179">
        <v>7.0349999999999996E-2</v>
      </c>
      <c r="K31" s="179">
        <v>0</v>
      </c>
      <c r="L31" s="179">
        <v>7.0349999999999996E-2</v>
      </c>
      <c r="M31" s="179">
        <v>7.1999999999999995E-2</v>
      </c>
      <c r="N31" s="179">
        <f>+L31-M31</f>
        <v>-1.6499999999999987E-3</v>
      </c>
      <c r="O31" s="179">
        <v>0</v>
      </c>
      <c r="V31" s="100"/>
      <c r="W31" s="100"/>
    </row>
    <row r="32" spans="1:23" ht="42" customHeight="1" x14ac:dyDescent="0.25">
      <c r="A32" s="98"/>
      <c r="J32" s="144"/>
      <c r="K32" s="144"/>
      <c r="L32" s="144"/>
      <c r="M32" s="144"/>
      <c r="N32" s="144"/>
      <c r="O32" s="144"/>
      <c r="R32" s="76"/>
      <c r="S32" s="76"/>
      <c r="T32" s="76"/>
      <c r="U32" s="76"/>
      <c r="V32" s="123"/>
      <c r="W32" s="123"/>
    </row>
    <row r="33" spans="1:23" ht="42" customHeight="1" x14ac:dyDescent="0.25">
      <c r="R33" s="76"/>
      <c r="S33" s="76"/>
      <c r="T33" s="76"/>
      <c r="U33" s="76"/>
      <c r="V33" s="123"/>
      <c r="W33" s="123"/>
    </row>
    <row r="41" spans="1:23" s="198" customFormat="1" ht="42" customHeight="1" thickBot="1" x14ac:dyDescent="0.3">
      <c r="A41" s="904" t="s">
        <v>207</v>
      </c>
      <c r="B41" s="904"/>
      <c r="C41" s="904"/>
      <c r="D41" s="904"/>
      <c r="E41" s="904"/>
      <c r="F41" s="904"/>
      <c r="G41" s="904"/>
      <c r="H41" s="904"/>
      <c r="I41" s="904"/>
      <c r="J41" s="904"/>
      <c r="K41" s="904"/>
      <c r="L41" s="904"/>
      <c r="M41" s="904"/>
      <c r="N41" s="904"/>
      <c r="O41" s="904"/>
      <c r="V41" s="199"/>
      <c r="W41" s="199"/>
    </row>
    <row r="42" spans="1:23" ht="42" customHeight="1" x14ac:dyDescent="0.3">
      <c r="A42" s="905" t="s">
        <v>140</v>
      </c>
      <c r="B42" s="905"/>
      <c r="C42" s="905"/>
      <c r="D42" s="905"/>
      <c r="E42" s="905"/>
      <c r="F42" s="905"/>
    </row>
    <row r="43" spans="1:23" ht="42" customHeight="1" x14ac:dyDescent="0.3">
      <c r="A43" s="202" t="s">
        <v>0</v>
      </c>
      <c r="B43" s="203" t="s">
        <v>108</v>
      </c>
      <c r="C43" s="203" t="s">
        <v>109</v>
      </c>
      <c r="D43" s="202" t="s">
        <v>173</v>
      </c>
      <c r="E43" s="202" t="s">
        <v>106</v>
      </c>
      <c r="F43" s="202" t="s">
        <v>110</v>
      </c>
      <c r="H43" s="203" t="s">
        <v>208</v>
      </c>
    </row>
    <row r="44" spans="1:23" ht="9" customHeight="1" x14ac:dyDescent="0.25">
      <c r="A44" s="168"/>
      <c r="B44" s="168"/>
      <c r="C44" s="168"/>
      <c r="D44" s="168"/>
      <c r="E44" s="168"/>
      <c r="F44" s="168"/>
    </row>
    <row r="45" spans="1:23" ht="42" customHeight="1" x14ac:dyDescent="0.25">
      <c r="A45" s="211" t="s">
        <v>27</v>
      </c>
      <c r="B45" s="204">
        <v>0</v>
      </c>
      <c r="C45" s="204">
        <v>11.844329760000001</v>
      </c>
      <c r="D45" s="204">
        <v>0</v>
      </c>
      <c r="E45" s="204">
        <f>SUM(B45:D45)</f>
        <v>11.844329760000001</v>
      </c>
      <c r="F45" s="205">
        <f>+E45/$E$52</f>
        <v>3.9125896820043859E-2</v>
      </c>
      <c r="H45" s="144">
        <f>+N28</f>
        <v>-0.44425344000000067</v>
      </c>
    </row>
    <row r="46" spans="1:23" ht="42" customHeight="1" x14ac:dyDescent="0.25">
      <c r="A46" s="211" t="s">
        <v>92</v>
      </c>
      <c r="B46" s="204">
        <v>0</v>
      </c>
      <c r="C46" s="204">
        <v>0.41141679999999997</v>
      </c>
      <c r="D46" s="204">
        <v>0</v>
      </c>
      <c r="E46" s="204">
        <f t="shared" ref="E46:E51" si="2">SUM(B46:D46)</f>
        <v>0.41141679999999997</v>
      </c>
      <c r="F46" s="205">
        <f t="shared" ref="F46:F51" si="3">+E46/$E$52</f>
        <v>1.3590512585350898E-3</v>
      </c>
    </row>
    <row r="47" spans="1:23" ht="42" customHeight="1" x14ac:dyDescent="0.25">
      <c r="A47" s="168" t="s">
        <v>2</v>
      </c>
      <c r="B47" s="204">
        <v>26.7425</v>
      </c>
      <c r="C47" s="204">
        <v>0</v>
      </c>
      <c r="D47" s="204">
        <v>0</v>
      </c>
      <c r="E47" s="204">
        <f t="shared" si="2"/>
        <v>26.7425</v>
      </c>
      <c r="F47" s="205">
        <f t="shared" si="3"/>
        <v>8.8339679569173254E-2</v>
      </c>
      <c r="H47" s="144">
        <f>+N7</f>
        <v>4.2607840000000001</v>
      </c>
    </row>
    <row r="48" spans="1:23" ht="42" customHeight="1" x14ac:dyDescent="0.25">
      <c r="A48" s="211" t="s">
        <v>11</v>
      </c>
      <c r="B48" s="204">
        <v>40.875</v>
      </c>
      <c r="C48" s="204">
        <v>0</v>
      </c>
      <c r="D48" s="204">
        <v>0</v>
      </c>
      <c r="E48" s="204">
        <f t="shared" si="2"/>
        <v>40.875</v>
      </c>
      <c r="F48" s="205">
        <f t="shared" si="3"/>
        <v>0.13502419004917104</v>
      </c>
      <c r="H48" s="144">
        <f>+N8</f>
        <v>5.2478990000000003</v>
      </c>
    </row>
    <row r="49" spans="1:8" ht="42" customHeight="1" x14ac:dyDescent="0.25">
      <c r="A49" s="168" t="s">
        <v>1</v>
      </c>
      <c r="B49" s="204">
        <v>159.3775</v>
      </c>
      <c r="C49" s="204">
        <v>0</v>
      </c>
      <c r="D49" s="204">
        <v>0</v>
      </c>
      <c r="E49" s="204">
        <f t="shared" si="2"/>
        <v>159.3775</v>
      </c>
      <c r="F49" s="205">
        <f t="shared" si="3"/>
        <v>0.52647872414829988</v>
      </c>
      <c r="H49" s="144">
        <f>+N5+N6</f>
        <v>20.792628999999998</v>
      </c>
    </row>
    <row r="50" spans="1:8" ht="42" customHeight="1" x14ac:dyDescent="0.25">
      <c r="A50" s="168" t="s">
        <v>4</v>
      </c>
      <c r="B50" s="204">
        <v>0</v>
      </c>
      <c r="C50" s="204">
        <v>63.402437535000054</v>
      </c>
      <c r="D50" s="204">
        <v>0</v>
      </c>
      <c r="E50" s="204">
        <f t="shared" si="2"/>
        <v>63.402437535000054</v>
      </c>
      <c r="F50" s="205">
        <f t="shared" si="3"/>
        <v>0.20944006789740779</v>
      </c>
      <c r="H50" s="144">
        <f>+N18</f>
        <v>14.202437535000051</v>
      </c>
    </row>
    <row r="51" spans="1:8" ht="42" customHeight="1" x14ac:dyDescent="0.4">
      <c r="A51" s="168" t="s">
        <v>183</v>
      </c>
      <c r="B51" s="206">
        <v>0</v>
      </c>
      <c r="C51" s="206">
        <v>0</v>
      </c>
      <c r="D51" s="206">
        <v>7.0349999999999996E-2</v>
      </c>
      <c r="E51" s="206">
        <f t="shared" si="2"/>
        <v>7.0349999999999996E-2</v>
      </c>
      <c r="F51" s="207">
        <f t="shared" si="3"/>
        <v>2.32390257369032E-4</v>
      </c>
      <c r="H51" s="212">
        <f>+N31</f>
        <v>-1.6499999999999987E-3</v>
      </c>
    </row>
    <row r="52" spans="1:8" ht="42" customHeight="1" x14ac:dyDescent="0.4">
      <c r="A52" s="168" t="s">
        <v>106</v>
      </c>
      <c r="B52" s="209">
        <v>226.995</v>
      </c>
      <c r="C52" s="209">
        <f>SUM(C45:C51)</f>
        <v>75.658184095000053</v>
      </c>
      <c r="D52" s="209">
        <f t="shared" ref="D52:H52" si="4">SUM(D45:D51)</f>
        <v>7.0349999999999996E-2</v>
      </c>
      <c r="E52" s="209">
        <f t="shared" si="4"/>
        <v>302.72353409500005</v>
      </c>
      <c r="F52" s="210">
        <f t="shared" si="4"/>
        <v>0.99999999999999989</v>
      </c>
      <c r="H52" s="208">
        <f t="shared" si="4"/>
        <v>44.057846095000052</v>
      </c>
    </row>
    <row r="53" spans="1:8" ht="42" customHeight="1" x14ac:dyDescent="0.25">
      <c r="A53" s="168"/>
      <c r="B53" s="168"/>
      <c r="C53" s="168"/>
      <c r="D53" s="168"/>
      <c r="E53" s="168"/>
      <c r="F53" s="168"/>
    </row>
    <row r="100" spans="1:6" ht="42" customHeight="1" thickBot="1" x14ac:dyDescent="0.3"/>
    <row r="101" spans="1:6" ht="42" customHeight="1" x14ac:dyDescent="0.25">
      <c r="A101" s="894" t="s">
        <v>195</v>
      </c>
      <c r="B101" s="895"/>
      <c r="C101" s="895"/>
      <c r="D101" s="895"/>
      <c r="E101" s="895"/>
      <c r="F101" s="896"/>
    </row>
    <row r="102" spans="1:6" ht="42" customHeight="1" thickBot="1" x14ac:dyDescent="0.3">
      <c r="A102" s="897"/>
      <c r="B102" s="898"/>
      <c r="C102" s="898"/>
      <c r="D102" s="898"/>
      <c r="E102" s="898"/>
      <c r="F102" s="899"/>
    </row>
    <row r="103" spans="1:6" ht="42" customHeight="1" x14ac:dyDescent="0.25">
      <c r="A103" s="162" t="s">
        <v>5</v>
      </c>
      <c r="B103" s="161" t="s">
        <v>6</v>
      </c>
      <c r="C103" s="161" t="s">
        <v>13</v>
      </c>
      <c r="D103" s="161" t="s">
        <v>82</v>
      </c>
      <c r="E103" s="161" t="s">
        <v>115</v>
      </c>
      <c r="F103" s="163" t="s">
        <v>116</v>
      </c>
    </row>
    <row r="104" spans="1:6" ht="55.5" customHeight="1" x14ac:dyDescent="0.25">
      <c r="A104" s="104" t="s">
        <v>91</v>
      </c>
      <c r="B104" s="106" t="s">
        <v>190</v>
      </c>
      <c r="C104" s="106" t="s">
        <v>18</v>
      </c>
      <c r="D104" s="105" t="s">
        <v>8</v>
      </c>
      <c r="E104" s="106" t="s">
        <v>36</v>
      </c>
      <c r="F104" s="107" t="s">
        <v>29</v>
      </c>
    </row>
    <row r="105" spans="1:6" ht="60" customHeight="1" x14ac:dyDescent="0.25">
      <c r="A105" s="104" t="s">
        <v>27</v>
      </c>
      <c r="B105" s="106" t="s">
        <v>192</v>
      </c>
      <c r="C105" s="106" t="s">
        <v>15</v>
      </c>
      <c r="D105" s="105" t="s">
        <v>84</v>
      </c>
      <c r="E105" s="106" t="s">
        <v>35</v>
      </c>
      <c r="F105" s="107" t="s">
        <v>28</v>
      </c>
    </row>
    <row r="106" spans="1:6" ht="56.25" customHeight="1" x14ac:dyDescent="0.25">
      <c r="A106" s="117" t="s">
        <v>125</v>
      </c>
      <c r="B106" s="106" t="s">
        <v>191</v>
      </c>
      <c r="C106" s="106" t="s">
        <v>16</v>
      </c>
      <c r="D106" s="105"/>
      <c r="E106" s="106" t="s">
        <v>46</v>
      </c>
      <c r="F106" s="107" t="s">
        <v>34</v>
      </c>
    </row>
    <row r="107" spans="1:6" ht="42" customHeight="1" x14ac:dyDescent="0.25">
      <c r="A107" s="117" t="s">
        <v>128</v>
      </c>
      <c r="B107" s="106" t="s">
        <v>193</v>
      </c>
      <c r="C107" s="106" t="s">
        <v>20</v>
      </c>
      <c r="D107" s="105"/>
      <c r="E107" s="106" t="s">
        <v>142</v>
      </c>
      <c r="F107" s="107" t="s">
        <v>142</v>
      </c>
    </row>
    <row r="108" spans="1:6" ht="42" customHeight="1" x14ac:dyDescent="0.25">
      <c r="A108" s="104" t="s">
        <v>92</v>
      </c>
      <c r="B108" s="106"/>
      <c r="C108" s="106" t="s">
        <v>19</v>
      </c>
      <c r="D108" s="105"/>
      <c r="E108" s="106" t="s">
        <v>37</v>
      </c>
      <c r="F108" s="107" t="s">
        <v>30</v>
      </c>
    </row>
    <row r="109" spans="1:6" ht="42" customHeight="1" x14ac:dyDescent="0.25">
      <c r="A109" s="117" t="s">
        <v>194</v>
      </c>
      <c r="B109" s="105"/>
      <c r="C109" s="106" t="s">
        <v>21</v>
      </c>
      <c r="D109" s="105"/>
      <c r="E109" s="106" t="s">
        <v>117</v>
      </c>
      <c r="F109" s="107" t="s">
        <v>121</v>
      </c>
    </row>
    <row r="110" spans="1:6" ht="42" customHeight="1" x14ac:dyDescent="0.25">
      <c r="A110" s="104" t="s">
        <v>11</v>
      </c>
      <c r="B110" s="105"/>
      <c r="C110" s="106" t="s">
        <v>14</v>
      </c>
      <c r="D110" s="105"/>
      <c r="E110" s="106" t="s">
        <v>42</v>
      </c>
      <c r="F110" s="107" t="s">
        <v>40</v>
      </c>
    </row>
    <row r="111" spans="1:6" ht="42" customHeight="1" x14ac:dyDescent="0.25">
      <c r="A111" s="104" t="s">
        <v>1</v>
      </c>
      <c r="B111" s="105"/>
      <c r="C111" s="106" t="s">
        <v>17</v>
      </c>
      <c r="D111" s="105"/>
      <c r="E111" s="106" t="s">
        <v>38</v>
      </c>
      <c r="F111" s="107" t="s">
        <v>31</v>
      </c>
    </row>
    <row r="112" spans="1:6" ht="42" customHeight="1" x14ac:dyDescent="0.25">
      <c r="A112" s="104" t="s">
        <v>4</v>
      </c>
      <c r="B112" s="105"/>
      <c r="C112" s="106"/>
      <c r="D112" s="105"/>
      <c r="E112" s="106" t="s">
        <v>41</v>
      </c>
      <c r="F112" s="107" t="s">
        <v>39</v>
      </c>
    </row>
    <row r="113" spans="1:6" ht="42" customHeight="1" x14ac:dyDescent="0.25">
      <c r="A113" s="117" t="s">
        <v>126</v>
      </c>
      <c r="B113" s="105"/>
      <c r="C113" s="106"/>
      <c r="D113" s="105"/>
      <c r="E113" s="106" t="s">
        <v>43</v>
      </c>
      <c r="F113" s="107" t="s">
        <v>120</v>
      </c>
    </row>
    <row r="114" spans="1:6" ht="42" customHeight="1" x14ac:dyDescent="0.25">
      <c r="A114" s="117" t="s">
        <v>183</v>
      </c>
      <c r="B114" s="105"/>
      <c r="C114" s="106"/>
      <c r="D114" s="105"/>
      <c r="E114" s="106" t="s">
        <v>118</v>
      </c>
      <c r="F114" s="107" t="s">
        <v>122</v>
      </c>
    </row>
    <row r="115" spans="1:6" ht="42" customHeight="1" x14ac:dyDescent="0.25">
      <c r="A115" s="117" t="s">
        <v>142</v>
      </c>
      <c r="B115" s="105"/>
      <c r="C115" s="105"/>
      <c r="D115" s="105"/>
      <c r="E115" s="106" t="s">
        <v>37</v>
      </c>
      <c r="F115" s="107" t="s">
        <v>31</v>
      </c>
    </row>
    <row r="116" spans="1:6" ht="42" customHeight="1" x14ac:dyDescent="0.25">
      <c r="A116" s="117"/>
      <c r="B116" s="105"/>
      <c r="C116" s="105"/>
      <c r="D116" s="105"/>
      <c r="E116" s="106" t="s">
        <v>45</v>
      </c>
      <c r="F116" s="107" t="s">
        <v>33</v>
      </c>
    </row>
    <row r="117" spans="1:6" ht="42" customHeight="1" x14ac:dyDescent="0.25">
      <c r="A117" s="117"/>
      <c r="B117" s="105"/>
      <c r="C117" s="105"/>
      <c r="D117" s="105"/>
      <c r="E117" s="106" t="s">
        <v>44</v>
      </c>
      <c r="F117" s="107" t="s">
        <v>32</v>
      </c>
    </row>
    <row r="118" spans="1:6" ht="42" customHeight="1" thickBot="1" x14ac:dyDescent="0.3">
      <c r="A118" s="118"/>
      <c r="B118" s="119"/>
      <c r="C118" s="119"/>
      <c r="D118" s="119"/>
      <c r="E118" s="120" t="s">
        <v>142</v>
      </c>
      <c r="F118" s="121" t="s">
        <v>142</v>
      </c>
    </row>
  </sheetData>
  <dataConsolidate/>
  <mergeCells count="7">
    <mergeCell ref="A101:F102"/>
    <mergeCell ref="A1:O1"/>
    <mergeCell ref="A3:O3"/>
    <mergeCell ref="A11:O11"/>
    <mergeCell ref="A29:O29"/>
    <mergeCell ref="A41:O41"/>
    <mergeCell ref="A42:F42"/>
  </mergeCells>
  <dataValidations disablePrompts="1" count="7">
    <dataValidation type="list" allowBlank="1" showInputMessage="1" showErrorMessage="1" sqref="G5:G10 G14:G17 G31 G20:G27" xr:uid="{00000000-0002-0000-2B00-000000000000}">
      <formula1>$C$104:$C$112</formula1>
    </dataValidation>
    <dataValidation type="list" allowBlank="1" showInputMessage="1" showErrorMessage="1" sqref="A5:A10 A31:A32 A14:A17 A20:A27" xr:uid="{00000000-0002-0000-2B00-000001000000}">
      <formula1>$D$104:$D$106</formula1>
    </dataValidation>
    <dataValidation type="list" allowBlank="1" showInputMessage="1" showErrorMessage="1" sqref="B5:B10 B31 B14:B17 B20:B27" xr:uid="{00000000-0002-0000-2B00-000002000000}">
      <formula1>$B$104:$B$108</formula1>
    </dataValidation>
    <dataValidation type="list" allowBlank="1" showInputMessage="1" showErrorMessage="1" sqref="E5:E10 E14:E17 E31 E20:E27" xr:uid="{00000000-0002-0000-2B00-000003000000}">
      <formula1>$F$104:$F$118</formula1>
    </dataValidation>
    <dataValidation type="list" allowBlank="1" showInputMessage="1" showErrorMessage="1" sqref="F5:F10 F14:F17 F31 F20:F27" xr:uid="{00000000-0002-0000-2B00-000004000000}">
      <formula1>$E$104:$E$118</formula1>
    </dataValidation>
    <dataValidation type="list" allowBlank="1" showInputMessage="1" showErrorMessage="1" sqref="C5:D10 C14:D17 C31:D31 C20:D27" xr:uid="{00000000-0002-0000-2B00-000005000000}">
      <formula1>$A$104:$A$116</formula1>
    </dataValidation>
    <dataValidation type="list" allowBlank="1" showInputMessage="1" showErrorMessage="1" sqref="C32:D40" xr:uid="{00000000-0002-0000-2B00-000006000000}">
      <formula1>#REF!</formula1>
    </dataValidation>
  </dataValidations>
  <printOptions horizontalCentered="1"/>
  <pageMargins left="0.25" right="0.25" top="0.75" bottom="0.75" header="0.3" footer="0.3"/>
  <pageSetup scale="10" orientation="landscape" r:id="rId1"/>
  <headerFooter>
    <oddHeader>&amp;C&amp;"Arial,Bold"&amp;18University of Illinois - Derivative Position Report as of June 30, 2011&amp;R&amp;D
&amp;T</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25">
    <tabColor rgb="FFFF0000"/>
    <pageSetUpPr fitToPage="1"/>
  </sheetPr>
  <dimension ref="A1:X118"/>
  <sheetViews>
    <sheetView zoomScale="70" zoomScaleNormal="70" workbookViewId="0">
      <pane ySplit="2" topLeftCell="A3" activePane="bottomLeft" state="frozen"/>
      <selection activeCell="DD94" sqref="DD94"/>
      <selection pane="bottomLeft" activeCell="DD94" sqref="DD94"/>
    </sheetView>
  </sheetViews>
  <sheetFormatPr defaultColWidth="20.44140625" defaultRowHeight="42" customHeight="1" x14ac:dyDescent="0.25"/>
  <cols>
    <col min="1" max="1" width="26.44140625" style="77" customWidth="1"/>
    <col min="2" max="2" width="20.44140625" style="77"/>
    <col min="3" max="3" width="20.44140625" style="77" customWidth="1"/>
    <col min="4" max="17" width="20.44140625" style="77"/>
    <col min="18" max="18" width="47.6640625" style="77" customWidth="1"/>
    <col min="19" max="19" width="27" style="77" customWidth="1"/>
    <col min="20" max="21" width="20.44140625" style="77"/>
    <col min="22" max="23" width="20.44140625" style="99"/>
    <col min="24" max="16384" width="20.44140625" style="77"/>
  </cols>
  <sheetData>
    <row r="1" spans="1:24" ht="42" customHeight="1" thickBot="1" x14ac:dyDescent="0.3">
      <c r="A1" s="900" t="s">
        <v>189</v>
      </c>
      <c r="B1" s="900"/>
      <c r="C1" s="900"/>
      <c r="D1" s="900"/>
      <c r="E1" s="900"/>
      <c r="F1" s="900"/>
      <c r="G1" s="900"/>
      <c r="H1" s="900"/>
      <c r="I1" s="900"/>
      <c r="J1" s="900"/>
      <c r="K1" s="900"/>
      <c r="L1" s="900"/>
      <c r="M1" s="900"/>
      <c r="N1" s="900"/>
      <c r="O1" s="900"/>
      <c r="Q1" s="76"/>
      <c r="R1" s="76"/>
      <c r="S1" s="76"/>
      <c r="T1" s="76"/>
      <c r="U1" s="76"/>
      <c r="V1" s="76"/>
      <c r="W1" s="76"/>
      <c r="X1" s="76"/>
    </row>
    <row r="2" spans="1:24" ht="30" customHeight="1" x14ac:dyDescent="0.25">
      <c r="A2" s="224"/>
      <c r="B2" s="224"/>
      <c r="C2" s="224"/>
      <c r="D2" s="224"/>
      <c r="E2" s="224"/>
      <c r="F2" s="224"/>
      <c r="G2" s="224"/>
      <c r="H2" s="224"/>
      <c r="I2" s="224"/>
      <c r="J2" s="224"/>
      <c r="K2" s="224"/>
      <c r="L2" s="224"/>
      <c r="M2" s="224"/>
      <c r="N2" s="224"/>
      <c r="O2" s="224"/>
      <c r="Q2" s="76"/>
      <c r="R2" s="76"/>
      <c r="S2" s="76"/>
      <c r="T2" s="76"/>
      <c r="U2" s="76"/>
      <c r="V2" s="76"/>
      <c r="W2" s="76"/>
      <c r="X2" s="76"/>
    </row>
    <row r="3" spans="1:24" ht="42" customHeight="1" x14ac:dyDescent="0.25">
      <c r="A3" s="901" t="s">
        <v>204</v>
      </c>
      <c r="B3" s="902"/>
      <c r="C3" s="902"/>
      <c r="D3" s="902"/>
      <c r="E3" s="902"/>
      <c r="F3" s="902"/>
      <c r="G3" s="902"/>
      <c r="H3" s="902"/>
      <c r="I3" s="902"/>
      <c r="J3" s="902"/>
      <c r="K3" s="902"/>
      <c r="L3" s="902"/>
      <c r="M3" s="902"/>
      <c r="N3" s="902"/>
      <c r="O3" s="903"/>
      <c r="P3" s="75"/>
      <c r="Q3" s="76"/>
      <c r="R3" s="76"/>
      <c r="S3" s="76"/>
      <c r="T3" s="76"/>
      <c r="U3" s="76"/>
      <c r="V3" s="76"/>
      <c r="W3" s="76"/>
      <c r="X3" s="76"/>
    </row>
    <row r="4" spans="1:24" s="75" customFormat="1" ht="66.75" customHeight="1" x14ac:dyDescent="0.25">
      <c r="A4" s="176" t="s">
        <v>89</v>
      </c>
      <c r="B4" s="176" t="s">
        <v>90</v>
      </c>
      <c r="C4" s="177" t="s">
        <v>0</v>
      </c>
      <c r="D4" s="177" t="s">
        <v>124</v>
      </c>
      <c r="E4" s="176" t="s">
        <v>143</v>
      </c>
      <c r="F4" s="176" t="s">
        <v>144</v>
      </c>
      <c r="G4" s="176" t="s">
        <v>13</v>
      </c>
      <c r="H4" s="176" t="s">
        <v>88</v>
      </c>
      <c r="I4" s="176" t="s">
        <v>12</v>
      </c>
      <c r="J4" s="176" t="s">
        <v>158</v>
      </c>
      <c r="K4" s="176" t="s">
        <v>148</v>
      </c>
      <c r="L4" s="176" t="s">
        <v>153</v>
      </c>
      <c r="M4" s="176" t="s">
        <v>104</v>
      </c>
      <c r="N4" s="176" t="s">
        <v>154</v>
      </c>
      <c r="O4" s="176" t="s">
        <v>205</v>
      </c>
      <c r="P4" s="77"/>
      <c r="Q4" s="76"/>
      <c r="R4" s="76"/>
      <c r="S4" s="76"/>
      <c r="T4" s="76"/>
      <c r="U4" s="76"/>
      <c r="V4" s="76"/>
      <c r="W4" s="76"/>
      <c r="X4" s="76"/>
    </row>
    <row r="5" spans="1:24" ht="42" customHeight="1" x14ac:dyDescent="0.25">
      <c r="A5" s="82" t="s">
        <v>84</v>
      </c>
      <c r="B5" s="83" t="s">
        <v>3</v>
      </c>
      <c r="C5" s="83" t="s">
        <v>1</v>
      </c>
      <c r="D5" s="83" t="s">
        <v>1</v>
      </c>
      <c r="E5" s="84" t="s">
        <v>40</v>
      </c>
      <c r="F5" s="84" t="s">
        <v>42</v>
      </c>
      <c r="G5" s="83" t="s">
        <v>14</v>
      </c>
      <c r="H5" s="85">
        <v>44423</v>
      </c>
      <c r="I5" s="83" t="s">
        <v>23</v>
      </c>
      <c r="J5" s="173">
        <v>143.66499999999999</v>
      </c>
      <c r="K5" s="86">
        <v>132.12</v>
      </c>
      <c r="L5" s="86">
        <f>N5-M5</f>
        <v>12.30316506</v>
      </c>
      <c r="M5" s="86">
        <v>1.7585133100000001</v>
      </c>
      <c r="N5" s="87">
        <v>14.061678369999999</v>
      </c>
      <c r="O5" s="187"/>
      <c r="V5" s="77"/>
      <c r="W5" s="77"/>
    </row>
    <row r="6" spans="1:24" ht="42" customHeight="1" x14ac:dyDescent="0.25">
      <c r="A6" s="90" t="s">
        <v>84</v>
      </c>
      <c r="B6" s="91" t="s">
        <v>3</v>
      </c>
      <c r="C6" s="91" t="s">
        <v>1</v>
      </c>
      <c r="D6" s="91" t="s">
        <v>1</v>
      </c>
      <c r="E6" s="92" t="s">
        <v>40</v>
      </c>
      <c r="F6" s="91" t="s">
        <v>42</v>
      </c>
      <c r="G6" s="91" t="s">
        <v>14</v>
      </c>
      <c r="H6" s="93">
        <v>44576</v>
      </c>
      <c r="I6" s="91" t="s">
        <v>24</v>
      </c>
      <c r="J6" s="174">
        <v>27.395</v>
      </c>
      <c r="K6" s="94">
        <v>27.4</v>
      </c>
      <c r="L6" s="94">
        <f>N6-M6</f>
        <v>3.8543307799999997</v>
      </c>
      <c r="M6" s="94">
        <v>8.6950559999999996E-2</v>
      </c>
      <c r="N6" s="95">
        <v>3.9412813399999997</v>
      </c>
      <c r="O6" s="188"/>
      <c r="V6" s="77"/>
      <c r="W6" s="77"/>
    </row>
    <row r="7" spans="1:24" ht="42" customHeight="1" x14ac:dyDescent="0.25">
      <c r="A7" s="82" t="s">
        <v>84</v>
      </c>
      <c r="B7" s="83" t="s">
        <v>3</v>
      </c>
      <c r="C7" s="83" t="s">
        <v>194</v>
      </c>
      <c r="D7" s="83" t="s">
        <v>194</v>
      </c>
      <c r="E7" s="84" t="s">
        <v>31</v>
      </c>
      <c r="F7" s="84" t="s">
        <v>36</v>
      </c>
      <c r="G7" s="83" t="s">
        <v>14</v>
      </c>
      <c r="H7" s="85">
        <v>44576</v>
      </c>
      <c r="I7" s="83" t="s">
        <v>24</v>
      </c>
      <c r="J7" s="173">
        <v>26.85</v>
      </c>
      <c r="K7" s="86">
        <v>26.7425</v>
      </c>
      <c r="L7" s="86">
        <f>N7-M7</f>
        <v>3.78217669</v>
      </c>
      <c r="M7" s="86">
        <v>8.5307729999999998E-2</v>
      </c>
      <c r="N7" s="87">
        <v>3.8674844199999998</v>
      </c>
      <c r="O7" s="187"/>
      <c r="V7" s="77"/>
      <c r="W7" s="77"/>
    </row>
    <row r="8" spans="1:24" ht="42" customHeight="1" x14ac:dyDescent="0.25">
      <c r="A8" s="90" t="s">
        <v>84</v>
      </c>
      <c r="B8" s="91" t="s">
        <v>3</v>
      </c>
      <c r="C8" s="91" t="s">
        <v>11</v>
      </c>
      <c r="D8" s="91" t="s">
        <v>125</v>
      </c>
      <c r="E8" s="92" t="s">
        <v>39</v>
      </c>
      <c r="F8" s="91" t="s">
        <v>38</v>
      </c>
      <c r="G8" s="91" t="s">
        <v>14</v>
      </c>
      <c r="H8" s="93">
        <v>46296</v>
      </c>
      <c r="I8" s="91" t="s">
        <v>25</v>
      </c>
      <c r="J8" s="174">
        <v>40.875</v>
      </c>
      <c r="K8" s="132">
        <v>40.875</v>
      </c>
      <c r="L8" s="132">
        <f>N8-M8</f>
        <v>4.4154741900000003</v>
      </c>
      <c r="M8" s="132">
        <v>6.193601E-2</v>
      </c>
      <c r="N8" s="129">
        <v>4.4774102000000005</v>
      </c>
      <c r="O8" s="188"/>
      <c r="V8" s="77"/>
      <c r="W8" s="77"/>
    </row>
    <row r="9" spans="1:24" s="97" customFormat="1" ht="42" customHeight="1" x14ac:dyDescent="0.25">
      <c r="A9" s="98"/>
      <c r="B9" s="111"/>
      <c r="C9" s="111"/>
      <c r="D9" s="111"/>
      <c r="E9" s="123"/>
      <c r="F9" s="111"/>
      <c r="G9" s="111"/>
      <c r="H9" s="114"/>
      <c r="I9" s="111"/>
      <c r="J9" s="189"/>
      <c r="K9" s="189"/>
      <c r="L9" s="189"/>
      <c r="M9" s="189"/>
      <c r="N9" s="190"/>
      <c r="O9" s="190"/>
    </row>
    <row r="10" spans="1:24" ht="42" customHeight="1" x14ac:dyDescent="0.25">
      <c r="A10" s="90"/>
      <c r="B10" s="91"/>
      <c r="C10" s="91"/>
      <c r="D10" s="91"/>
      <c r="E10" s="92"/>
      <c r="F10" s="91"/>
      <c r="G10" s="91"/>
      <c r="H10" s="93"/>
      <c r="I10" s="91"/>
      <c r="J10" s="174"/>
      <c r="K10" s="174"/>
      <c r="L10" s="174"/>
      <c r="M10" s="174"/>
      <c r="N10" s="188"/>
      <c r="O10" s="188"/>
      <c r="V10" s="77"/>
      <c r="W10" s="77"/>
    </row>
    <row r="11" spans="1:24" s="97" customFormat="1" ht="42" customHeight="1" x14ac:dyDescent="0.25">
      <c r="A11" s="901" t="s">
        <v>203</v>
      </c>
      <c r="B11" s="902"/>
      <c r="C11" s="902"/>
      <c r="D11" s="902"/>
      <c r="E11" s="902"/>
      <c r="F11" s="902"/>
      <c r="G11" s="902"/>
      <c r="H11" s="902"/>
      <c r="I11" s="902"/>
      <c r="J11" s="902"/>
      <c r="K11" s="902"/>
      <c r="L11" s="902"/>
      <c r="M11" s="902"/>
      <c r="N11" s="902"/>
      <c r="O11" s="903"/>
    </row>
    <row r="12" spans="1:24" s="97" customFormat="1" ht="74.25" customHeight="1" x14ac:dyDescent="0.25">
      <c r="A12" s="176" t="s">
        <v>89</v>
      </c>
      <c r="B12" s="176" t="s">
        <v>90</v>
      </c>
      <c r="C12" s="177" t="s">
        <v>0</v>
      </c>
      <c r="D12" s="180" t="s">
        <v>124</v>
      </c>
      <c r="E12" s="176" t="s">
        <v>143</v>
      </c>
      <c r="F12" s="176" t="s">
        <v>144</v>
      </c>
      <c r="G12" s="176" t="s">
        <v>13</v>
      </c>
      <c r="H12" s="176" t="s">
        <v>88</v>
      </c>
      <c r="I12" s="176" t="s">
        <v>12</v>
      </c>
      <c r="J12" s="176" t="s">
        <v>150</v>
      </c>
      <c r="K12" s="176" t="s">
        <v>151</v>
      </c>
      <c r="L12" s="176" t="s">
        <v>157</v>
      </c>
      <c r="M12" s="176" t="s">
        <v>149</v>
      </c>
      <c r="N12" s="176" t="s">
        <v>154</v>
      </c>
      <c r="O12" s="176" t="s">
        <v>205</v>
      </c>
    </row>
    <row r="13" spans="1:24" s="178" customFormat="1" ht="24" customHeight="1" x14ac:dyDescent="0.25">
      <c r="A13" s="184" t="s">
        <v>197</v>
      </c>
      <c r="B13" s="184"/>
      <c r="C13" s="185"/>
      <c r="D13" s="185"/>
      <c r="E13" s="184"/>
      <c r="F13" s="184"/>
      <c r="G13" s="184"/>
      <c r="H13" s="184"/>
      <c r="I13" s="184"/>
      <c r="J13" s="184"/>
      <c r="K13" s="184"/>
      <c r="L13" s="184"/>
      <c r="M13" s="184"/>
      <c r="N13" s="184"/>
      <c r="O13" s="186"/>
    </row>
    <row r="14" spans="1:24" ht="42" customHeight="1" x14ac:dyDescent="0.25">
      <c r="A14" s="90" t="s">
        <v>84</v>
      </c>
      <c r="B14" s="91" t="s">
        <v>7</v>
      </c>
      <c r="C14" s="91" t="s">
        <v>4</v>
      </c>
      <c r="D14" s="91" t="s">
        <v>126</v>
      </c>
      <c r="E14" s="92" t="s">
        <v>30</v>
      </c>
      <c r="F14" s="91" t="s">
        <v>142</v>
      </c>
      <c r="G14" s="91" t="s">
        <v>22</v>
      </c>
      <c r="H14" s="93">
        <v>41090</v>
      </c>
      <c r="I14" s="91" t="s">
        <v>176</v>
      </c>
      <c r="J14" s="95">
        <v>34.200000000000003</v>
      </c>
      <c r="K14" s="95">
        <v>0</v>
      </c>
      <c r="L14" s="95">
        <f t="shared" ref="L14:L17" si="0">+J14+K14</f>
        <v>34.200000000000003</v>
      </c>
      <c r="M14" s="188"/>
      <c r="N14" s="188"/>
      <c r="O14" s="188"/>
      <c r="V14" s="77"/>
      <c r="W14" s="77"/>
    </row>
    <row r="15" spans="1:24" ht="42" customHeight="1" x14ac:dyDescent="0.25">
      <c r="A15" s="82" t="s">
        <v>8</v>
      </c>
      <c r="B15" s="83" t="s">
        <v>7</v>
      </c>
      <c r="C15" s="83" t="s">
        <v>4</v>
      </c>
      <c r="D15" s="83" t="s">
        <v>126</v>
      </c>
      <c r="E15" s="84" t="s">
        <v>30</v>
      </c>
      <c r="F15" s="84" t="s">
        <v>142</v>
      </c>
      <c r="G15" s="83" t="s">
        <v>22</v>
      </c>
      <c r="H15" s="85">
        <v>41455</v>
      </c>
      <c r="I15" s="83" t="s">
        <v>131</v>
      </c>
      <c r="J15" s="87">
        <v>25.5</v>
      </c>
      <c r="K15" s="87">
        <v>0</v>
      </c>
      <c r="L15" s="87">
        <f t="shared" si="0"/>
        <v>25.5</v>
      </c>
      <c r="M15" s="187"/>
      <c r="N15" s="187"/>
      <c r="O15" s="187"/>
      <c r="V15" s="77"/>
      <c r="W15" s="77"/>
    </row>
    <row r="16" spans="1:24" ht="42" customHeight="1" x14ac:dyDescent="0.25">
      <c r="A16" s="90" t="s">
        <v>8</v>
      </c>
      <c r="B16" s="91" t="s">
        <v>7</v>
      </c>
      <c r="C16" s="91" t="s">
        <v>4</v>
      </c>
      <c r="D16" s="91" t="s">
        <v>126</v>
      </c>
      <c r="E16" s="92" t="s">
        <v>30</v>
      </c>
      <c r="F16" s="91" t="s">
        <v>142</v>
      </c>
      <c r="G16" s="91" t="s">
        <v>22</v>
      </c>
      <c r="H16" s="93">
        <v>41820</v>
      </c>
      <c r="I16" s="91" t="s">
        <v>132</v>
      </c>
      <c r="J16" s="95">
        <v>4.53</v>
      </c>
      <c r="K16" s="95">
        <v>0</v>
      </c>
      <c r="L16" s="95">
        <f t="shared" si="0"/>
        <v>4.53</v>
      </c>
      <c r="M16" s="188"/>
      <c r="N16" s="188"/>
      <c r="O16" s="188"/>
      <c r="V16" s="77"/>
      <c r="W16" s="77"/>
    </row>
    <row r="17" spans="1:23" ht="42" customHeight="1" x14ac:dyDescent="0.25">
      <c r="A17" s="82"/>
      <c r="B17" s="83"/>
      <c r="C17" s="83"/>
      <c r="D17" s="83"/>
      <c r="E17" s="84"/>
      <c r="F17" s="84"/>
      <c r="G17" s="83"/>
      <c r="H17" s="85"/>
      <c r="I17" s="83" t="s">
        <v>133</v>
      </c>
      <c r="J17" s="135">
        <v>0</v>
      </c>
      <c r="K17" s="135">
        <v>0</v>
      </c>
      <c r="L17" s="135">
        <f t="shared" si="0"/>
        <v>0</v>
      </c>
      <c r="M17" s="187"/>
      <c r="N17" s="187"/>
      <c r="O17" s="187"/>
      <c r="V17" s="77"/>
      <c r="W17" s="77"/>
    </row>
    <row r="18" spans="1:23" ht="42" customHeight="1" x14ac:dyDescent="0.25">
      <c r="A18" s="181"/>
      <c r="B18" s="181"/>
      <c r="C18" s="181"/>
      <c r="D18" s="181"/>
      <c r="E18" s="182"/>
      <c r="F18" s="181"/>
      <c r="G18" s="181"/>
      <c r="H18" s="183" t="s">
        <v>206</v>
      </c>
      <c r="I18" s="181"/>
      <c r="J18" s="192">
        <f>SUM(J14:J17)</f>
        <v>64.23</v>
      </c>
      <c r="K18" s="192">
        <f>SUM(K14:K17)</f>
        <v>0</v>
      </c>
      <c r="L18" s="192">
        <f>SUM(L14:L17)</f>
        <v>64.23</v>
      </c>
      <c r="M18" s="95">
        <f>+L18-N18</f>
        <v>51.464053000000007</v>
      </c>
      <c r="N18" s="96">
        <v>12.765947000000001</v>
      </c>
      <c r="O18" s="96">
        <v>35</v>
      </c>
      <c r="V18" s="77"/>
      <c r="W18" s="77"/>
    </row>
    <row r="19" spans="1:23" s="178" customFormat="1" ht="24" customHeight="1" x14ac:dyDescent="0.25">
      <c r="A19" s="184" t="s">
        <v>198</v>
      </c>
      <c r="B19" s="184"/>
      <c r="C19" s="185"/>
      <c r="D19" s="185"/>
      <c r="E19" s="184"/>
      <c r="F19" s="184"/>
      <c r="G19" s="184"/>
      <c r="H19" s="184"/>
      <c r="I19" s="184"/>
      <c r="J19" s="184"/>
      <c r="K19" s="184"/>
      <c r="L19" s="184"/>
      <c r="M19" s="184"/>
      <c r="N19" s="184"/>
      <c r="O19" s="186"/>
    </row>
    <row r="20" spans="1:23" s="97" customFormat="1" ht="58.5" customHeight="1" x14ac:dyDescent="0.25">
      <c r="A20" s="82" t="s">
        <v>8</v>
      </c>
      <c r="B20" s="83" t="s">
        <v>7</v>
      </c>
      <c r="C20" s="83" t="s">
        <v>27</v>
      </c>
      <c r="D20" s="83" t="s">
        <v>127</v>
      </c>
      <c r="E20" s="84" t="s">
        <v>33</v>
      </c>
      <c r="F20" s="84" t="s">
        <v>45</v>
      </c>
      <c r="G20" s="83" t="s">
        <v>22</v>
      </c>
      <c r="H20" s="85">
        <v>41090</v>
      </c>
      <c r="I20" s="83" t="s">
        <v>135</v>
      </c>
      <c r="J20" s="87">
        <v>6.571148</v>
      </c>
      <c r="K20" s="87"/>
      <c r="L20" s="87">
        <f t="shared" ref="L20:L27" si="1">+J20+K20</f>
        <v>6.571148</v>
      </c>
      <c r="M20" s="187"/>
      <c r="N20" s="187"/>
      <c r="O20" s="187"/>
    </row>
    <row r="21" spans="1:23" ht="42" customHeight="1" x14ac:dyDescent="0.25">
      <c r="A21" s="90" t="s">
        <v>8</v>
      </c>
      <c r="B21" s="91" t="s">
        <v>7</v>
      </c>
      <c r="C21" s="91" t="s">
        <v>92</v>
      </c>
      <c r="D21" s="91" t="s">
        <v>128</v>
      </c>
      <c r="E21" s="92" t="s">
        <v>33</v>
      </c>
      <c r="F21" s="91" t="s">
        <v>44</v>
      </c>
      <c r="G21" s="91" t="s">
        <v>22</v>
      </c>
      <c r="H21" s="93">
        <v>41090</v>
      </c>
      <c r="I21" s="91" t="s">
        <v>136</v>
      </c>
      <c r="J21" s="95">
        <v>0.25278499999999998</v>
      </c>
      <c r="K21" s="95"/>
      <c r="L21" s="95">
        <f t="shared" si="1"/>
        <v>0.25278499999999998</v>
      </c>
      <c r="M21" s="188"/>
      <c r="N21" s="188"/>
      <c r="O21" s="188"/>
      <c r="V21" s="77"/>
      <c r="W21" s="77"/>
    </row>
    <row r="22" spans="1:23" s="97" customFormat="1" ht="51" customHeight="1" x14ac:dyDescent="0.25">
      <c r="A22" s="82" t="s">
        <v>8</v>
      </c>
      <c r="B22" s="83" t="s">
        <v>7</v>
      </c>
      <c r="C22" s="83" t="s">
        <v>27</v>
      </c>
      <c r="D22" s="83" t="s">
        <v>127</v>
      </c>
      <c r="E22" s="84" t="s">
        <v>33</v>
      </c>
      <c r="F22" s="84" t="s">
        <v>45</v>
      </c>
      <c r="G22" s="83" t="s">
        <v>22</v>
      </c>
      <c r="H22" s="85">
        <v>41455</v>
      </c>
      <c r="I22" s="83" t="s">
        <v>137</v>
      </c>
      <c r="J22" s="87">
        <v>5.2490870000000003</v>
      </c>
      <c r="K22" s="87"/>
      <c r="L22" s="87">
        <f t="shared" si="1"/>
        <v>5.2490870000000003</v>
      </c>
      <c r="M22" s="187"/>
      <c r="N22" s="187"/>
      <c r="O22" s="187"/>
    </row>
    <row r="23" spans="1:23" ht="42" customHeight="1" x14ac:dyDescent="0.25">
      <c r="A23" s="90" t="s">
        <v>84</v>
      </c>
      <c r="B23" s="91" t="s">
        <v>7</v>
      </c>
      <c r="C23" s="91" t="s">
        <v>92</v>
      </c>
      <c r="D23" s="91" t="s">
        <v>128</v>
      </c>
      <c r="E23" s="92" t="s">
        <v>33</v>
      </c>
      <c r="F23" s="91" t="s">
        <v>44</v>
      </c>
      <c r="G23" s="91" t="s">
        <v>22</v>
      </c>
      <c r="H23" s="93">
        <v>41455</v>
      </c>
      <c r="I23" s="91" t="s">
        <v>137</v>
      </c>
      <c r="J23" s="95">
        <v>2.6345E-2</v>
      </c>
      <c r="K23" s="95"/>
      <c r="L23" s="95">
        <f t="shared" si="1"/>
        <v>2.6345E-2</v>
      </c>
      <c r="M23" s="188"/>
      <c r="N23" s="188"/>
      <c r="O23" s="188"/>
      <c r="V23" s="77"/>
      <c r="W23" s="77"/>
    </row>
    <row r="24" spans="1:23" s="97" customFormat="1" ht="55.5" customHeight="1" x14ac:dyDescent="0.25">
      <c r="A24" s="82" t="s">
        <v>84</v>
      </c>
      <c r="B24" s="83" t="s">
        <v>7</v>
      </c>
      <c r="C24" s="83" t="s">
        <v>27</v>
      </c>
      <c r="D24" s="83" t="s">
        <v>127</v>
      </c>
      <c r="E24" s="84" t="s">
        <v>33</v>
      </c>
      <c r="F24" s="84" t="s">
        <v>45</v>
      </c>
      <c r="G24" s="83" t="s">
        <v>22</v>
      </c>
      <c r="H24" s="85">
        <v>41820</v>
      </c>
      <c r="I24" s="83" t="s">
        <v>138</v>
      </c>
      <c r="J24" s="87">
        <v>0.92112799999999995</v>
      </c>
      <c r="K24" s="87"/>
      <c r="L24" s="87">
        <f t="shared" si="1"/>
        <v>0.92112799999999995</v>
      </c>
      <c r="M24" s="187"/>
      <c r="N24" s="187"/>
      <c r="O24" s="187"/>
    </row>
    <row r="25" spans="1:23" ht="42" customHeight="1" x14ac:dyDescent="0.25">
      <c r="A25" s="90" t="s">
        <v>8</v>
      </c>
      <c r="B25" s="91" t="s">
        <v>7</v>
      </c>
      <c r="C25" s="91" t="s">
        <v>92</v>
      </c>
      <c r="D25" s="91" t="s">
        <v>128</v>
      </c>
      <c r="E25" s="92" t="s">
        <v>33</v>
      </c>
      <c r="F25" s="91" t="s">
        <v>44</v>
      </c>
      <c r="G25" s="91" t="s">
        <v>22</v>
      </c>
      <c r="H25" s="93">
        <v>41820</v>
      </c>
      <c r="I25" s="91" t="s">
        <v>138</v>
      </c>
      <c r="J25" s="95">
        <v>0.21435199999999999</v>
      </c>
      <c r="K25" s="95"/>
      <c r="L25" s="95">
        <f t="shared" si="1"/>
        <v>0.21435199999999999</v>
      </c>
      <c r="M25" s="188"/>
      <c r="N25" s="188"/>
      <c r="O25" s="188"/>
      <c r="V25" s="77"/>
      <c r="W25" s="77"/>
    </row>
    <row r="26" spans="1:23" s="97" customFormat="1" ht="42" customHeight="1" x14ac:dyDescent="0.25">
      <c r="A26" s="82" t="s">
        <v>8</v>
      </c>
      <c r="B26" s="83" t="s">
        <v>7</v>
      </c>
      <c r="C26" s="83"/>
      <c r="D26" s="83"/>
      <c r="E26" s="84"/>
      <c r="F26" s="84"/>
      <c r="G26" s="83"/>
      <c r="H26" s="85"/>
      <c r="I26" s="83" t="s">
        <v>139</v>
      </c>
      <c r="J26" s="87">
        <v>0</v>
      </c>
      <c r="K26" s="87"/>
      <c r="L26" s="87">
        <f t="shared" si="1"/>
        <v>0</v>
      </c>
      <c r="M26" s="187"/>
      <c r="N26" s="187"/>
      <c r="O26" s="187"/>
    </row>
    <row r="27" spans="1:23" ht="42" customHeight="1" x14ac:dyDescent="0.25">
      <c r="A27" s="90" t="s">
        <v>8</v>
      </c>
      <c r="B27" s="91" t="s">
        <v>7</v>
      </c>
      <c r="C27" s="91"/>
      <c r="D27" s="91"/>
      <c r="E27" s="92"/>
      <c r="F27" s="91"/>
      <c r="G27" s="91"/>
      <c r="H27" s="93"/>
      <c r="I27" s="91" t="s">
        <v>139</v>
      </c>
      <c r="J27" s="129">
        <v>0</v>
      </c>
      <c r="K27" s="129"/>
      <c r="L27" s="129">
        <f t="shared" si="1"/>
        <v>0</v>
      </c>
      <c r="M27" s="193"/>
      <c r="N27" s="193"/>
      <c r="O27" s="193"/>
      <c r="V27" s="77"/>
      <c r="W27" s="77"/>
    </row>
    <row r="28" spans="1:23" s="97" customFormat="1" ht="42" customHeight="1" x14ac:dyDescent="0.25">
      <c r="A28" s="181"/>
      <c r="B28" s="181"/>
      <c r="C28" s="181"/>
      <c r="D28" s="181"/>
      <c r="E28" s="182"/>
      <c r="F28" s="181"/>
      <c r="G28" s="181"/>
      <c r="H28" s="183" t="s">
        <v>206</v>
      </c>
      <c r="I28" s="181"/>
      <c r="J28" s="192">
        <f>SUM(J20:J27)</f>
        <v>13.234844999999998</v>
      </c>
      <c r="K28" s="192">
        <f>SUM(K20:K27)</f>
        <v>0</v>
      </c>
      <c r="L28" s="192">
        <f>SUM(L20:L27)</f>
        <v>13.234844999999998</v>
      </c>
      <c r="M28" s="141">
        <f>+L28-N28</f>
        <v>13.516856519999997</v>
      </c>
      <c r="N28" s="142">
        <v>-0.28201151999999979</v>
      </c>
      <c r="O28" s="142">
        <v>0</v>
      </c>
    </row>
    <row r="29" spans="1:23" ht="48" customHeight="1" x14ac:dyDescent="0.25">
      <c r="A29" s="901" t="s">
        <v>202</v>
      </c>
      <c r="B29" s="902"/>
      <c r="C29" s="902"/>
      <c r="D29" s="902"/>
      <c r="E29" s="902"/>
      <c r="F29" s="902"/>
      <c r="G29" s="902"/>
      <c r="H29" s="902"/>
      <c r="I29" s="902"/>
      <c r="J29" s="902"/>
      <c r="K29" s="902"/>
      <c r="L29" s="902"/>
      <c r="M29" s="902"/>
      <c r="N29" s="902"/>
      <c r="O29" s="903"/>
      <c r="V29" s="77"/>
      <c r="W29" s="77"/>
    </row>
    <row r="30" spans="1:23" s="97" customFormat="1" ht="66" customHeight="1" x14ac:dyDescent="0.25">
      <c r="A30" s="176" t="s">
        <v>89</v>
      </c>
      <c r="B30" s="176" t="s">
        <v>90</v>
      </c>
      <c r="C30" s="177" t="s">
        <v>0</v>
      </c>
      <c r="D30" s="177" t="s">
        <v>124</v>
      </c>
      <c r="E30" s="176" t="s">
        <v>143</v>
      </c>
      <c r="F30" s="176" t="s">
        <v>144</v>
      </c>
      <c r="G30" s="176" t="s">
        <v>13</v>
      </c>
      <c r="H30" s="176" t="s">
        <v>88</v>
      </c>
      <c r="I30" s="176" t="s">
        <v>12</v>
      </c>
      <c r="J30" s="176" t="s">
        <v>200</v>
      </c>
      <c r="K30" s="176" t="s">
        <v>199</v>
      </c>
      <c r="L30" s="176" t="s">
        <v>201</v>
      </c>
      <c r="M30" s="176" t="s">
        <v>149</v>
      </c>
      <c r="N30" s="176" t="s">
        <v>154</v>
      </c>
      <c r="O30" s="176" t="s">
        <v>205</v>
      </c>
    </row>
    <row r="31" spans="1:23" s="97" customFormat="1" ht="42" customHeight="1" x14ac:dyDescent="0.25">
      <c r="A31" s="90"/>
      <c r="B31" s="91"/>
      <c r="C31" s="91"/>
      <c r="D31" s="91"/>
      <c r="E31" s="92"/>
      <c r="F31" s="91"/>
      <c r="G31" s="91"/>
      <c r="H31" s="93"/>
      <c r="I31" s="91"/>
      <c r="J31" s="179"/>
      <c r="K31" s="179"/>
      <c r="L31" s="179"/>
      <c r="M31" s="179"/>
      <c r="N31" s="179"/>
      <c r="O31" s="179"/>
      <c r="V31" s="100"/>
      <c r="W31" s="100"/>
    </row>
    <row r="32" spans="1:23" ht="42" customHeight="1" x14ac:dyDescent="0.25">
      <c r="A32" s="98"/>
      <c r="J32" s="144"/>
      <c r="K32" s="144"/>
      <c r="L32" s="144"/>
      <c r="M32" s="144"/>
      <c r="N32" s="144"/>
      <c r="O32" s="144"/>
      <c r="R32" s="76"/>
      <c r="S32" s="76"/>
      <c r="T32" s="76"/>
      <c r="U32" s="76"/>
      <c r="V32" s="123"/>
      <c r="W32" s="123"/>
    </row>
    <row r="33" spans="1:23" ht="42" customHeight="1" x14ac:dyDescent="0.25">
      <c r="R33" s="76"/>
      <c r="S33" s="76"/>
      <c r="T33" s="76"/>
      <c r="U33" s="76"/>
      <c r="V33" s="123"/>
      <c r="W33" s="123"/>
    </row>
    <row r="41" spans="1:23" s="198" customFormat="1" ht="42" customHeight="1" thickBot="1" x14ac:dyDescent="0.3">
      <c r="A41" s="904" t="s">
        <v>207</v>
      </c>
      <c r="B41" s="904"/>
      <c r="C41" s="904"/>
      <c r="D41" s="904"/>
      <c r="E41" s="904"/>
      <c r="F41" s="904"/>
      <c r="G41" s="904"/>
      <c r="H41" s="904"/>
      <c r="I41" s="904"/>
      <c r="J41" s="904"/>
      <c r="K41" s="904"/>
      <c r="L41" s="904"/>
      <c r="M41" s="904"/>
      <c r="N41" s="904"/>
      <c r="O41" s="904"/>
      <c r="V41" s="199"/>
      <c r="W41" s="199"/>
    </row>
    <row r="42" spans="1:23" ht="42" customHeight="1" x14ac:dyDescent="0.3">
      <c r="A42" s="905" t="s">
        <v>140</v>
      </c>
      <c r="B42" s="905"/>
      <c r="C42" s="905"/>
      <c r="D42" s="905"/>
      <c r="E42" s="905"/>
      <c r="F42" s="905"/>
    </row>
    <row r="43" spans="1:23" ht="42" customHeight="1" x14ac:dyDescent="0.3">
      <c r="A43" s="202" t="s">
        <v>0</v>
      </c>
      <c r="B43" s="203" t="s">
        <v>108</v>
      </c>
      <c r="C43" s="203" t="s">
        <v>109</v>
      </c>
      <c r="D43" s="202" t="s">
        <v>173</v>
      </c>
      <c r="E43" s="202" t="s">
        <v>106</v>
      </c>
      <c r="F43" s="202" t="s">
        <v>110</v>
      </c>
      <c r="H43" s="203" t="s">
        <v>208</v>
      </c>
    </row>
    <row r="44" spans="1:23" ht="9" customHeight="1" x14ac:dyDescent="0.25">
      <c r="A44" s="168"/>
      <c r="B44" s="168"/>
      <c r="C44" s="168"/>
      <c r="D44" s="168"/>
      <c r="E44" s="168"/>
      <c r="F44" s="168"/>
    </row>
    <row r="45" spans="1:23" ht="42" customHeight="1" x14ac:dyDescent="0.25">
      <c r="A45" s="211" t="s">
        <v>27</v>
      </c>
      <c r="B45" s="204">
        <v>0</v>
      </c>
      <c r="C45" s="204">
        <v>11.844329760000001</v>
      </c>
      <c r="D45" s="204">
        <v>0</v>
      </c>
      <c r="E45" s="204">
        <f>SUM(B45:D45)</f>
        <v>11.844329760000001</v>
      </c>
      <c r="F45" s="205">
        <f>+E45/$E$52</f>
        <v>3.9125896820043859E-2</v>
      </c>
      <c r="H45" s="144">
        <f>+N28</f>
        <v>-0.28201151999999979</v>
      </c>
    </row>
    <row r="46" spans="1:23" ht="42" customHeight="1" x14ac:dyDescent="0.25">
      <c r="A46" s="211" t="s">
        <v>92</v>
      </c>
      <c r="B46" s="204">
        <v>0</v>
      </c>
      <c r="C46" s="204">
        <v>0.41141679999999997</v>
      </c>
      <c r="D46" s="204">
        <v>0</v>
      </c>
      <c r="E46" s="204">
        <f t="shared" ref="E46:E51" si="2">SUM(B46:D46)</f>
        <v>0.41141679999999997</v>
      </c>
      <c r="F46" s="205">
        <f t="shared" ref="F46:F51" si="3">+E46/$E$52</f>
        <v>1.3590512585350898E-3</v>
      </c>
    </row>
    <row r="47" spans="1:23" ht="42" customHeight="1" x14ac:dyDescent="0.25">
      <c r="A47" s="168" t="s">
        <v>2</v>
      </c>
      <c r="B47" s="204">
        <v>26.7425</v>
      </c>
      <c r="C47" s="204">
        <v>0</v>
      </c>
      <c r="D47" s="204">
        <v>0</v>
      </c>
      <c r="E47" s="204">
        <f t="shared" si="2"/>
        <v>26.7425</v>
      </c>
      <c r="F47" s="205">
        <f t="shared" si="3"/>
        <v>8.8339679569173254E-2</v>
      </c>
      <c r="H47" s="144">
        <f>+N7</f>
        <v>3.8674844199999998</v>
      </c>
    </row>
    <row r="48" spans="1:23" ht="42" customHeight="1" x14ac:dyDescent="0.25">
      <c r="A48" s="211" t="s">
        <v>11</v>
      </c>
      <c r="B48" s="204">
        <v>40.875</v>
      </c>
      <c r="C48" s="204">
        <v>0</v>
      </c>
      <c r="D48" s="204">
        <v>0</v>
      </c>
      <c r="E48" s="204">
        <f t="shared" si="2"/>
        <v>40.875</v>
      </c>
      <c r="F48" s="205">
        <f t="shared" si="3"/>
        <v>0.13502419004917104</v>
      </c>
      <c r="H48" s="144">
        <f>+N8</f>
        <v>4.4774102000000005</v>
      </c>
    </row>
    <row r="49" spans="1:8" ht="42" customHeight="1" x14ac:dyDescent="0.25">
      <c r="A49" s="168" t="s">
        <v>1</v>
      </c>
      <c r="B49" s="204">
        <v>159.3775</v>
      </c>
      <c r="C49" s="204">
        <v>0</v>
      </c>
      <c r="D49" s="204">
        <v>0</v>
      </c>
      <c r="E49" s="204">
        <f t="shared" si="2"/>
        <v>159.3775</v>
      </c>
      <c r="F49" s="205">
        <f t="shared" si="3"/>
        <v>0.52647872414829988</v>
      </c>
      <c r="H49" s="144">
        <f>+N5+N6</f>
        <v>18.002959709999999</v>
      </c>
    </row>
    <row r="50" spans="1:8" ht="42" customHeight="1" x14ac:dyDescent="0.25">
      <c r="A50" s="168" t="s">
        <v>4</v>
      </c>
      <c r="B50" s="204">
        <v>0</v>
      </c>
      <c r="C50" s="204">
        <v>63.402437535000054</v>
      </c>
      <c r="D50" s="204">
        <v>0</v>
      </c>
      <c r="E50" s="204">
        <f t="shared" si="2"/>
        <v>63.402437535000054</v>
      </c>
      <c r="F50" s="205">
        <f t="shared" si="3"/>
        <v>0.20944006789740779</v>
      </c>
      <c r="H50" s="144">
        <f>+N18</f>
        <v>12.765947000000001</v>
      </c>
    </row>
    <row r="51" spans="1:8" ht="42" customHeight="1" x14ac:dyDescent="0.4">
      <c r="A51" s="168" t="s">
        <v>183</v>
      </c>
      <c r="B51" s="206">
        <v>0</v>
      </c>
      <c r="C51" s="206">
        <v>0</v>
      </c>
      <c r="D51" s="206">
        <v>7.0349999999999996E-2</v>
      </c>
      <c r="E51" s="206">
        <f t="shared" si="2"/>
        <v>7.0349999999999996E-2</v>
      </c>
      <c r="F51" s="207">
        <f t="shared" si="3"/>
        <v>2.32390257369032E-4</v>
      </c>
      <c r="H51" s="212">
        <f>+N31</f>
        <v>0</v>
      </c>
    </row>
    <row r="52" spans="1:8" ht="42" customHeight="1" x14ac:dyDescent="0.4">
      <c r="A52" s="168" t="s">
        <v>106</v>
      </c>
      <c r="B52" s="209">
        <v>226.995</v>
      </c>
      <c r="C52" s="209">
        <f>SUM(C45:C51)</f>
        <v>75.658184095000053</v>
      </c>
      <c r="D52" s="209">
        <f t="shared" ref="D52:H52" si="4">SUM(D45:D51)</f>
        <v>7.0349999999999996E-2</v>
      </c>
      <c r="E52" s="209">
        <f t="shared" si="4"/>
        <v>302.72353409500005</v>
      </c>
      <c r="F52" s="210">
        <f t="shared" si="4"/>
        <v>0.99999999999999989</v>
      </c>
      <c r="H52" s="208">
        <f t="shared" si="4"/>
        <v>38.831789810000004</v>
      </c>
    </row>
    <row r="53" spans="1:8" ht="42" customHeight="1" x14ac:dyDescent="0.25">
      <c r="A53" s="168"/>
      <c r="B53" s="168"/>
      <c r="C53" s="168"/>
      <c r="D53" s="168"/>
      <c r="E53" s="168"/>
      <c r="F53" s="168"/>
    </row>
    <row r="100" spans="1:6" ht="42" customHeight="1" thickBot="1" x14ac:dyDescent="0.3"/>
    <row r="101" spans="1:6" ht="42" customHeight="1" x14ac:dyDescent="0.25">
      <c r="A101" s="894" t="s">
        <v>195</v>
      </c>
      <c r="B101" s="895"/>
      <c r="C101" s="895"/>
      <c r="D101" s="895"/>
      <c r="E101" s="895"/>
      <c r="F101" s="896"/>
    </row>
    <row r="102" spans="1:6" ht="42" customHeight="1" thickBot="1" x14ac:dyDescent="0.3">
      <c r="A102" s="897"/>
      <c r="B102" s="898"/>
      <c r="C102" s="898"/>
      <c r="D102" s="898"/>
      <c r="E102" s="898"/>
      <c r="F102" s="899"/>
    </row>
    <row r="103" spans="1:6" ht="42" customHeight="1" x14ac:dyDescent="0.25">
      <c r="A103" s="162" t="s">
        <v>5</v>
      </c>
      <c r="B103" s="161" t="s">
        <v>6</v>
      </c>
      <c r="C103" s="161" t="s">
        <v>13</v>
      </c>
      <c r="D103" s="161" t="s">
        <v>82</v>
      </c>
      <c r="E103" s="161" t="s">
        <v>115</v>
      </c>
      <c r="F103" s="163" t="s">
        <v>116</v>
      </c>
    </row>
    <row r="104" spans="1:6" ht="55.5" customHeight="1" x14ac:dyDescent="0.25">
      <c r="A104" s="104" t="s">
        <v>91</v>
      </c>
      <c r="B104" s="106" t="s">
        <v>190</v>
      </c>
      <c r="C104" s="106" t="s">
        <v>18</v>
      </c>
      <c r="D104" s="105" t="s">
        <v>8</v>
      </c>
      <c r="E104" s="106" t="s">
        <v>36</v>
      </c>
      <c r="F104" s="107" t="s">
        <v>29</v>
      </c>
    </row>
    <row r="105" spans="1:6" ht="60" customHeight="1" x14ac:dyDescent="0.25">
      <c r="A105" s="104" t="s">
        <v>27</v>
      </c>
      <c r="B105" s="106" t="s">
        <v>192</v>
      </c>
      <c r="C105" s="106" t="s">
        <v>15</v>
      </c>
      <c r="D105" s="105" t="s">
        <v>84</v>
      </c>
      <c r="E105" s="106" t="s">
        <v>35</v>
      </c>
      <c r="F105" s="107" t="s">
        <v>28</v>
      </c>
    </row>
    <row r="106" spans="1:6" ht="56.25" customHeight="1" x14ac:dyDescent="0.25">
      <c r="A106" s="117" t="s">
        <v>125</v>
      </c>
      <c r="B106" s="106" t="s">
        <v>191</v>
      </c>
      <c r="C106" s="106" t="s">
        <v>16</v>
      </c>
      <c r="D106" s="105"/>
      <c r="E106" s="106" t="s">
        <v>46</v>
      </c>
      <c r="F106" s="107" t="s">
        <v>34</v>
      </c>
    </row>
    <row r="107" spans="1:6" ht="42" customHeight="1" x14ac:dyDescent="0.25">
      <c r="A107" s="117" t="s">
        <v>128</v>
      </c>
      <c r="B107" s="106" t="s">
        <v>193</v>
      </c>
      <c r="C107" s="106" t="s">
        <v>20</v>
      </c>
      <c r="D107" s="105"/>
      <c r="E107" s="106" t="s">
        <v>142</v>
      </c>
      <c r="F107" s="107" t="s">
        <v>142</v>
      </c>
    </row>
    <row r="108" spans="1:6" ht="42" customHeight="1" x14ac:dyDescent="0.25">
      <c r="A108" s="104" t="s">
        <v>92</v>
      </c>
      <c r="B108" s="106"/>
      <c r="C108" s="106" t="s">
        <v>19</v>
      </c>
      <c r="D108" s="105"/>
      <c r="E108" s="106" t="s">
        <v>37</v>
      </c>
      <c r="F108" s="107" t="s">
        <v>30</v>
      </c>
    </row>
    <row r="109" spans="1:6" ht="42" customHeight="1" x14ac:dyDescent="0.25">
      <c r="A109" s="117" t="s">
        <v>194</v>
      </c>
      <c r="B109" s="105"/>
      <c r="C109" s="106" t="s">
        <v>21</v>
      </c>
      <c r="D109" s="105"/>
      <c r="E109" s="106" t="s">
        <v>117</v>
      </c>
      <c r="F109" s="107" t="s">
        <v>121</v>
      </c>
    </row>
    <row r="110" spans="1:6" ht="42" customHeight="1" x14ac:dyDescent="0.25">
      <c r="A110" s="104" t="s">
        <v>11</v>
      </c>
      <c r="B110" s="105"/>
      <c r="C110" s="106" t="s">
        <v>14</v>
      </c>
      <c r="D110" s="105"/>
      <c r="E110" s="106" t="s">
        <v>42</v>
      </c>
      <c r="F110" s="107" t="s">
        <v>40</v>
      </c>
    </row>
    <row r="111" spans="1:6" ht="42" customHeight="1" x14ac:dyDescent="0.25">
      <c r="A111" s="104" t="s">
        <v>1</v>
      </c>
      <c r="B111" s="105"/>
      <c r="C111" s="106" t="s">
        <v>17</v>
      </c>
      <c r="D111" s="105"/>
      <c r="E111" s="106" t="s">
        <v>38</v>
      </c>
      <c r="F111" s="107" t="s">
        <v>31</v>
      </c>
    </row>
    <row r="112" spans="1:6" ht="42" customHeight="1" x14ac:dyDescent="0.25">
      <c r="A112" s="104" t="s">
        <v>4</v>
      </c>
      <c r="B112" s="105"/>
      <c r="C112" s="106"/>
      <c r="D112" s="105"/>
      <c r="E112" s="106" t="s">
        <v>41</v>
      </c>
      <c r="F112" s="107" t="s">
        <v>39</v>
      </c>
    </row>
    <row r="113" spans="1:6" ht="42" customHeight="1" x14ac:dyDescent="0.25">
      <c r="A113" s="117" t="s">
        <v>126</v>
      </c>
      <c r="B113" s="105"/>
      <c r="C113" s="106"/>
      <c r="D113" s="105"/>
      <c r="E113" s="106" t="s">
        <v>43</v>
      </c>
      <c r="F113" s="107" t="s">
        <v>120</v>
      </c>
    </row>
    <row r="114" spans="1:6" ht="42" customHeight="1" x14ac:dyDescent="0.25">
      <c r="A114" s="117" t="s">
        <v>183</v>
      </c>
      <c r="B114" s="105"/>
      <c r="C114" s="106"/>
      <c r="D114" s="105"/>
      <c r="E114" s="106" t="s">
        <v>118</v>
      </c>
      <c r="F114" s="107" t="s">
        <v>122</v>
      </c>
    </row>
    <row r="115" spans="1:6" ht="42" customHeight="1" x14ac:dyDescent="0.25">
      <c r="A115" s="117" t="s">
        <v>142</v>
      </c>
      <c r="B115" s="105"/>
      <c r="C115" s="105"/>
      <c r="D115" s="105"/>
      <c r="E115" s="106" t="s">
        <v>37</v>
      </c>
      <c r="F115" s="107" t="s">
        <v>31</v>
      </c>
    </row>
    <row r="116" spans="1:6" ht="42" customHeight="1" x14ac:dyDescent="0.25">
      <c r="A116" s="117"/>
      <c r="B116" s="105"/>
      <c r="C116" s="105"/>
      <c r="D116" s="105"/>
      <c r="E116" s="106" t="s">
        <v>45</v>
      </c>
      <c r="F116" s="107" t="s">
        <v>33</v>
      </c>
    </row>
    <row r="117" spans="1:6" ht="42" customHeight="1" x14ac:dyDescent="0.25">
      <c r="A117" s="117"/>
      <c r="B117" s="105"/>
      <c r="C117" s="105"/>
      <c r="D117" s="105"/>
      <c r="E117" s="106" t="s">
        <v>44</v>
      </c>
      <c r="F117" s="107" t="s">
        <v>32</v>
      </c>
    </row>
    <row r="118" spans="1:6" ht="42" customHeight="1" thickBot="1" x14ac:dyDescent="0.3">
      <c r="A118" s="118"/>
      <c r="B118" s="119"/>
      <c r="C118" s="119"/>
      <c r="D118" s="119"/>
      <c r="E118" s="120" t="s">
        <v>142</v>
      </c>
      <c r="F118" s="121" t="s">
        <v>142</v>
      </c>
    </row>
  </sheetData>
  <dataConsolidate/>
  <mergeCells count="7">
    <mergeCell ref="A101:F102"/>
    <mergeCell ref="A1:O1"/>
    <mergeCell ref="A3:O3"/>
    <mergeCell ref="A11:O11"/>
    <mergeCell ref="A29:O29"/>
    <mergeCell ref="A41:O41"/>
    <mergeCell ref="A42:F42"/>
  </mergeCells>
  <dataValidations disablePrompts="1" count="7">
    <dataValidation type="list" allowBlank="1" showInputMessage="1" showErrorMessage="1" sqref="C32:D40" xr:uid="{00000000-0002-0000-2C00-000000000000}">
      <formula1>#REF!</formula1>
    </dataValidation>
    <dataValidation type="list" allowBlank="1" showInputMessage="1" showErrorMessage="1" sqref="C5:D10 C14:D17 C31:D31 C20:D27" xr:uid="{00000000-0002-0000-2C00-000001000000}">
      <formula1>$A$104:$A$116</formula1>
    </dataValidation>
    <dataValidation type="list" allowBlank="1" showInputMessage="1" showErrorMessage="1" sqref="F5:F10 F14:F17 F31 F20:F27" xr:uid="{00000000-0002-0000-2C00-000002000000}">
      <formula1>$E$104:$E$118</formula1>
    </dataValidation>
    <dataValidation type="list" allowBlank="1" showInputMessage="1" showErrorMessage="1" sqref="E5:E10 E14:E17 E31 E20:E27" xr:uid="{00000000-0002-0000-2C00-000003000000}">
      <formula1>$F$104:$F$118</formula1>
    </dataValidation>
    <dataValidation type="list" allowBlank="1" showInputMessage="1" showErrorMessage="1" sqref="B5:B10 B31 B14:B17 B20:B27" xr:uid="{00000000-0002-0000-2C00-000004000000}">
      <formula1>$B$104:$B$108</formula1>
    </dataValidation>
    <dataValidation type="list" allowBlank="1" showInputMessage="1" showErrorMessage="1" sqref="A5:A10 A31:A32 A14:A17 A20:A27" xr:uid="{00000000-0002-0000-2C00-000005000000}">
      <formula1>$D$104:$D$106</formula1>
    </dataValidation>
    <dataValidation type="list" allowBlank="1" showInputMessage="1" showErrorMessage="1" sqref="G5:G10 G14:G17 G31 G20:G27" xr:uid="{00000000-0002-0000-2C00-000006000000}">
      <formula1>$C$104:$C$112</formula1>
    </dataValidation>
  </dataValidations>
  <printOptions horizontalCentered="1"/>
  <pageMargins left="0.25" right="0.25" top="0.75" bottom="0.75" header="0.3" footer="0.3"/>
  <pageSetup scale="10" orientation="landscape" r:id="rId1"/>
  <headerFooter>
    <oddHeader>&amp;C&amp;"Arial,Bold"&amp;18University of Illinois - Derivative Position Report as of June 30, 2011&amp;R&amp;D
&amp;T</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26">
    <tabColor rgb="FFFF0000"/>
    <pageSetUpPr fitToPage="1"/>
  </sheetPr>
  <dimension ref="A1:AF28"/>
  <sheetViews>
    <sheetView topLeftCell="B2" zoomScale="55" zoomScaleNormal="55" workbookViewId="0">
      <selection activeCell="DD94" sqref="DD94"/>
    </sheetView>
  </sheetViews>
  <sheetFormatPr defaultColWidth="9.109375" defaultRowHeight="15" x14ac:dyDescent="0.25"/>
  <cols>
    <col min="1" max="1" width="12.6640625" style="77" hidden="1" customWidth="1"/>
    <col min="2" max="2" width="22" style="77" customWidth="1"/>
    <col min="3" max="3" width="23.6640625" style="77" customWidth="1"/>
    <col min="4" max="5" width="24.33203125" style="77" customWidth="1"/>
    <col min="6" max="7" width="21.44140625" style="77" customWidth="1"/>
    <col min="8" max="9" width="15.109375" style="77" customWidth="1"/>
    <col min="10" max="10" width="24" style="77" customWidth="1"/>
    <col min="11" max="11" width="14.77734375" style="77" hidden="1" customWidth="1"/>
    <col min="12" max="12" width="14.77734375" style="77" customWidth="1"/>
    <col min="13" max="13" width="13.77734375" style="77" customWidth="1"/>
    <col min="14" max="14" width="16.109375" style="77" customWidth="1"/>
    <col min="15" max="15" width="13.77734375" style="77" customWidth="1"/>
    <col min="16" max="16" width="16.6640625" style="77" customWidth="1"/>
    <col min="17" max="17" width="1.44140625" style="77" customWidth="1"/>
    <col min="18" max="21" width="16.6640625" style="77" customWidth="1"/>
    <col min="22" max="23" width="15.77734375" style="77" customWidth="1"/>
    <col min="24" max="24" width="16.44140625" style="77" customWidth="1"/>
    <col min="25" max="25" width="12.44140625" style="77" customWidth="1"/>
    <col min="26" max="26" width="32.109375" style="77" customWidth="1"/>
    <col min="27" max="27" width="31.77734375" style="77" customWidth="1"/>
    <col min="28" max="28" width="18.44140625" style="77" customWidth="1"/>
    <col min="29" max="29" width="22.77734375" style="77" customWidth="1"/>
    <col min="30" max="31" width="13.109375" style="99" customWidth="1"/>
    <col min="32" max="16384" width="9.109375" style="77"/>
  </cols>
  <sheetData>
    <row r="1" spans="1:32" ht="30.75" hidden="1" customHeight="1" x14ac:dyDescent="0.25">
      <c r="A1" s="912" t="s">
        <v>86</v>
      </c>
      <c r="B1" s="912"/>
      <c r="C1" s="912"/>
      <c r="D1" s="912"/>
      <c r="E1" s="912"/>
      <c r="F1" s="912"/>
      <c r="G1" s="912"/>
      <c r="H1" s="912"/>
      <c r="I1" s="912"/>
      <c r="J1" s="912"/>
      <c r="K1" s="912"/>
      <c r="L1" s="912"/>
      <c r="M1" s="912"/>
      <c r="N1" s="912"/>
      <c r="O1" s="912"/>
      <c r="P1" s="912"/>
      <c r="Q1" s="912"/>
      <c r="R1" s="912"/>
      <c r="S1" s="912"/>
      <c r="T1" s="912"/>
      <c r="U1" s="912"/>
      <c r="V1" s="912"/>
      <c r="W1" s="912"/>
      <c r="Y1" s="76"/>
      <c r="Z1" s="76"/>
      <c r="AA1" s="76"/>
      <c r="AB1" s="76"/>
      <c r="AC1" s="76"/>
      <c r="AD1" s="76"/>
      <c r="AE1" s="76"/>
      <c r="AF1" s="76"/>
    </row>
    <row r="2" spans="1:32" ht="30.75" customHeight="1" x14ac:dyDescent="0.25">
      <c r="A2" s="74"/>
      <c r="B2" s="74"/>
      <c r="C2" s="74"/>
      <c r="D2" s="74"/>
      <c r="E2" s="74"/>
      <c r="F2" s="74"/>
      <c r="G2" s="74"/>
      <c r="H2" s="74"/>
      <c r="I2" s="74"/>
      <c r="J2" s="74"/>
      <c r="K2" s="913" t="s">
        <v>145</v>
      </c>
      <c r="L2" s="913"/>
      <c r="M2" s="913"/>
      <c r="N2" s="913"/>
      <c r="O2" s="913"/>
      <c r="P2" s="913"/>
      <c r="Q2" s="74"/>
      <c r="R2" s="914" t="s">
        <v>146</v>
      </c>
      <c r="S2" s="914"/>
      <c r="T2" s="914"/>
      <c r="U2" s="914"/>
      <c r="V2" s="914"/>
      <c r="W2" s="914"/>
      <c r="X2" s="75"/>
      <c r="Y2" s="76"/>
      <c r="Z2" s="76"/>
      <c r="AA2" s="76"/>
      <c r="AB2" s="76"/>
      <c r="AC2" s="76"/>
      <c r="AD2" s="76"/>
      <c r="AE2" s="76"/>
      <c r="AF2" s="76"/>
    </row>
    <row r="3" spans="1:32" s="75" customFormat="1" ht="66" customHeight="1" thickBot="1" x14ac:dyDescent="0.3">
      <c r="A3" s="78" t="s">
        <v>87</v>
      </c>
      <c r="B3" s="124" t="s">
        <v>89</v>
      </c>
      <c r="C3" s="124" t="s">
        <v>90</v>
      </c>
      <c r="D3" s="125" t="s">
        <v>0</v>
      </c>
      <c r="E3" s="125" t="s">
        <v>124</v>
      </c>
      <c r="F3" s="124" t="s">
        <v>143</v>
      </c>
      <c r="G3" s="124" t="s">
        <v>144</v>
      </c>
      <c r="H3" s="124" t="s">
        <v>13</v>
      </c>
      <c r="I3" s="124" t="s">
        <v>88</v>
      </c>
      <c r="J3" s="124" t="s">
        <v>12</v>
      </c>
      <c r="K3" s="126" t="s">
        <v>147</v>
      </c>
      <c r="L3" s="126" t="s">
        <v>158</v>
      </c>
      <c r="M3" s="126" t="s">
        <v>148</v>
      </c>
      <c r="N3" s="126" t="s">
        <v>153</v>
      </c>
      <c r="O3" s="126" t="s">
        <v>104</v>
      </c>
      <c r="P3" s="126" t="s">
        <v>154</v>
      </c>
      <c r="Q3" s="127" t="s">
        <v>107</v>
      </c>
      <c r="R3" s="124" t="s">
        <v>150</v>
      </c>
      <c r="S3" s="124" t="s">
        <v>151</v>
      </c>
      <c r="T3" s="124" t="s">
        <v>157</v>
      </c>
      <c r="U3" s="124" t="s">
        <v>149</v>
      </c>
      <c r="V3" s="124" t="s">
        <v>154</v>
      </c>
      <c r="W3" s="124" t="s">
        <v>152</v>
      </c>
      <c r="X3" s="77"/>
      <c r="Y3" s="76"/>
      <c r="Z3" s="76"/>
      <c r="AA3" s="76"/>
      <c r="AB3" s="76"/>
      <c r="AC3" s="76"/>
      <c r="AD3" s="76"/>
      <c r="AE3" s="76"/>
      <c r="AF3" s="76"/>
    </row>
    <row r="4" spans="1:32" ht="36.75" customHeight="1" x14ac:dyDescent="0.25">
      <c r="A4" s="81">
        <v>40694</v>
      </c>
      <c r="B4" s="82" t="s">
        <v>84</v>
      </c>
      <c r="C4" s="83" t="s">
        <v>3</v>
      </c>
      <c r="D4" s="83" t="s">
        <v>1</v>
      </c>
      <c r="E4" s="83" t="s">
        <v>1</v>
      </c>
      <c r="F4" s="84" t="s">
        <v>40</v>
      </c>
      <c r="G4" s="84" t="s">
        <v>42</v>
      </c>
      <c r="H4" s="83" t="s">
        <v>14</v>
      </c>
      <c r="I4" s="85">
        <v>44423</v>
      </c>
      <c r="J4" s="84" t="s">
        <v>23</v>
      </c>
      <c r="K4" s="86">
        <v>143.66499999999999</v>
      </c>
      <c r="L4" s="86">
        <v>143.66499999999999</v>
      </c>
      <c r="M4" s="86">
        <v>132.12</v>
      </c>
      <c r="N4" s="86">
        <f>P4-O4</f>
        <v>12.987563120000001</v>
      </c>
      <c r="O4" s="86">
        <v>1.3720331399999999</v>
      </c>
      <c r="P4" s="87">
        <v>14.35959626</v>
      </c>
      <c r="Q4" s="87"/>
      <c r="R4" s="87"/>
      <c r="S4" s="87"/>
      <c r="T4" s="87"/>
      <c r="U4" s="87"/>
      <c r="V4" s="88"/>
      <c r="W4" s="88"/>
      <c r="Z4" s="894" t="s">
        <v>83</v>
      </c>
      <c r="AA4" s="895"/>
      <c r="AB4" s="895"/>
      <c r="AC4" s="895"/>
      <c r="AD4" s="895"/>
      <c r="AE4" s="896"/>
    </row>
    <row r="5" spans="1:32" ht="36.75" customHeight="1" x14ac:dyDescent="0.25">
      <c r="A5" s="89">
        <v>40694</v>
      </c>
      <c r="B5" s="90" t="s">
        <v>84</v>
      </c>
      <c r="C5" s="91" t="s">
        <v>3</v>
      </c>
      <c r="D5" s="91" t="s">
        <v>1</v>
      </c>
      <c r="E5" s="91" t="s">
        <v>1</v>
      </c>
      <c r="F5" s="92" t="s">
        <v>40</v>
      </c>
      <c r="G5" s="91" t="s">
        <v>42</v>
      </c>
      <c r="H5" s="91" t="s">
        <v>14</v>
      </c>
      <c r="I5" s="93">
        <v>44576</v>
      </c>
      <c r="J5" s="92" t="s">
        <v>24</v>
      </c>
      <c r="K5" s="94">
        <v>26.85</v>
      </c>
      <c r="L5" s="94">
        <v>26.85</v>
      </c>
      <c r="M5" s="94">
        <v>27.4</v>
      </c>
      <c r="N5" s="94">
        <f t="shared" ref="N5:N7" si="0">P5-O5</f>
        <v>4.0067812599999995</v>
      </c>
      <c r="O5" s="94">
        <v>8.0790039999999994E-2</v>
      </c>
      <c r="P5" s="95">
        <v>4.0875712999999996</v>
      </c>
      <c r="Q5" s="95"/>
      <c r="R5" s="95"/>
      <c r="S5" s="95"/>
      <c r="T5" s="95"/>
      <c r="U5" s="95"/>
      <c r="V5" s="96"/>
      <c r="W5" s="96"/>
      <c r="Z5" s="915"/>
      <c r="AA5" s="916"/>
      <c r="AB5" s="916"/>
      <c r="AC5" s="916"/>
      <c r="AD5" s="916"/>
      <c r="AE5" s="917"/>
    </row>
    <row r="6" spans="1:32" ht="36.75" customHeight="1" thickBot="1" x14ac:dyDescent="0.3">
      <c r="A6" s="81">
        <v>40694</v>
      </c>
      <c r="B6" s="82" t="s">
        <v>84</v>
      </c>
      <c r="C6" s="83" t="s">
        <v>3</v>
      </c>
      <c r="D6" s="83" t="s">
        <v>194</v>
      </c>
      <c r="E6" s="83" t="s">
        <v>194</v>
      </c>
      <c r="F6" s="84" t="s">
        <v>31</v>
      </c>
      <c r="G6" s="84" t="s">
        <v>36</v>
      </c>
      <c r="H6" s="83" t="s">
        <v>14</v>
      </c>
      <c r="I6" s="85">
        <v>44576</v>
      </c>
      <c r="J6" s="84" t="s">
        <v>24</v>
      </c>
      <c r="K6" s="86">
        <v>26.85</v>
      </c>
      <c r="L6" s="86">
        <v>26.85</v>
      </c>
      <c r="M6" s="86">
        <v>26.7425</v>
      </c>
      <c r="N6" s="86">
        <f t="shared" si="0"/>
        <v>3.93156412</v>
      </c>
      <c r="O6" s="86">
        <v>7.9263600000000003E-2</v>
      </c>
      <c r="P6" s="87">
        <v>4.01082772</v>
      </c>
      <c r="Q6" s="87"/>
      <c r="R6" s="87"/>
      <c r="S6" s="87"/>
      <c r="T6" s="87"/>
      <c r="U6" s="87"/>
      <c r="V6" s="88"/>
      <c r="W6" s="88"/>
      <c r="Z6" s="101" t="s">
        <v>5</v>
      </c>
      <c r="AA6" s="102" t="s">
        <v>6</v>
      </c>
      <c r="AB6" s="102" t="s">
        <v>13</v>
      </c>
      <c r="AC6" s="102" t="s">
        <v>82</v>
      </c>
      <c r="AD6" s="102" t="s">
        <v>115</v>
      </c>
      <c r="AE6" s="103" t="s">
        <v>116</v>
      </c>
    </row>
    <row r="7" spans="1:32" ht="36.75" customHeight="1" x14ac:dyDescent="0.25">
      <c r="A7" s="89">
        <v>40694</v>
      </c>
      <c r="B7" s="90" t="s">
        <v>84</v>
      </c>
      <c r="C7" s="91" t="s">
        <v>3</v>
      </c>
      <c r="D7" s="91" t="s">
        <v>11</v>
      </c>
      <c r="E7" s="91" t="s">
        <v>125</v>
      </c>
      <c r="F7" s="92" t="s">
        <v>39</v>
      </c>
      <c r="G7" s="91" t="s">
        <v>38</v>
      </c>
      <c r="H7" s="91" t="s">
        <v>14</v>
      </c>
      <c r="I7" s="93">
        <v>46296</v>
      </c>
      <c r="J7" s="92" t="s">
        <v>25</v>
      </c>
      <c r="K7" s="94">
        <v>40.875</v>
      </c>
      <c r="L7" s="132">
        <v>40.875</v>
      </c>
      <c r="M7" s="132">
        <v>40.875</v>
      </c>
      <c r="N7" s="132">
        <f t="shared" si="0"/>
        <v>4.6777354000000004</v>
      </c>
      <c r="O7" s="132">
        <v>8.1106169999999991E-2</v>
      </c>
      <c r="P7" s="129">
        <v>4.7588415700000004</v>
      </c>
      <c r="Q7" s="95"/>
      <c r="R7" s="95"/>
      <c r="S7" s="95"/>
      <c r="T7" s="95"/>
      <c r="U7" s="95"/>
      <c r="V7" s="96"/>
      <c r="W7" s="96"/>
      <c r="Z7" s="104" t="s">
        <v>91</v>
      </c>
      <c r="AA7" s="105" t="s">
        <v>26</v>
      </c>
      <c r="AB7" s="105" t="s">
        <v>15</v>
      </c>
      <c r="AC7" s="105" t="s">
        <v>8</v>
      </c>
      <c r="AD7" s="106" t="s">
        <v>36</v>
      </c>
      <c r="AE7" s="107" t="s">
        <v>29</v>
      </c>
    </row>
    <row r="8" spans="1:32" ht="36.75" customHeight="1" x14ac:dyDescent="0.25">
      <c r="A8" s="81">
        <v>40694</v>
      </c>
      <c r="B8" s="82"/>
      <c r="C8" s="83"/>
      <c r="D8" s="111" t="s">
        <v>159</v>
      </c>
      <c r="E8" s="83"/>
      <c r="F8" s="84"/>
      <c r="G8" s="84"/>
      <c r="H8" s="108"/>
      <c r="I8" s="85"/>
      <c r="J8" s="83"/>
      <c r="K8" s="86"/>
      <c r="L8" s="133">
        <f>SUM(L4:L7)</f>
        <v>238.23999999999998</v>
      </c>
      <c r="M8" s="133">
        <f>SUM(M4:M7)</f>
        <v>227.13750000000002</v>
      </c>
      <c r="N8" s="133">
        <f>SUM(N4:N7)</f>
        <v>25.603643900000002</v>
      </c>
      <c r="O8" s="133">
        <f>SUM(O4:O7)</f>
        <v>1.6131929499999997</v>
      </c>
      <c r="P8" s="133">
        <f>SUM(P4:P7)</f>
        <v>27.21683685</v>
      </c>
      <c r="Q8" s="87"/>
      <c r="R8" s="87"/>
      <c r="S8" s="87"/>
      <c r="T8" s="87"/>
      <c r="U8" s="87"/>
      <c r="V8" s="88"/>
      <c r="W8" s="88"/>
      <c r="Z8" s="117" t="s">
        <v>127</v>
      </c>
      <c r="AA8" s="105"/>
      <c r="AB8" s="105"/>
      <c r="AC8" s="105"/>
      <c r="AD8" s="106" t="s">
        <v>119</v>
      </c>
      <c r="AE8" s="107" t="s">
        <v>123</v>
      </c>
    </row>
    <row r="9" spans="1:32" ht="36.75" customHeight="1" x14ac:dyDescent="0.25">
      <c r="A9" s="89">
        <v>40694</v>
      </c>
      <c r="B9" s="90" t="s">
        <v>84</v>
      </c>
      <c r="C9" s="91" t="s">
        <v>7</v>
      </c>
      <c r="D9" s="91" t="s">
        <v>4</v>
      </c>
      <c r="E9" s="91" t="s">
        <v>126</v>
      </c>
      <c r="F9" s="92" t="s">
        <v>30</v>
      </c>
      <c r="G9" s="91" t="s">
        <v>142</v>
      </c>
      <c r="H9" s="91" t="s">
        <v>22</v>
      </c>
      <c r="I9" s="93">
        <v>40724</v>
      </c>
      <c r="J9" s="91" t="s">
        <v>129</v>
      </c>
      <c r="K9" s="94"/>
      <c r="L9" s="94"/>
      <c r="M9" s="96"/>
      <c r="N9" s="96"/>
      <c r="O9" s="96"/>
      <c r="P9" s="95"/>
      <c r="Q9" s="95"/>
      <c r="R9" s="95">
        <v>39.1</v>
      </c>
      <c r="S9" s="95">
        <v>-37.251874243941998</v>
      </c>
      <c r="T9" s="95">
        <f>+R9+S9</f>
        <v>1.8481257560580033</v>
      </c>
      <c r="U9" s="109"/>
      <c r="V9" s="110"/>
      <c r="W9" s="109"/>
      <c r="Z9" s="104" t="s">
        <v>27</v>
      </c>
      <c r="AA9" s="105" t="s">
        <v>8</v>
      </c>
      <c r="AB9" s="105" t="s">
        <v>18</v>
      </c>
      <c r="AC9" s="105" t="s">
        <v>84</v>
      </c>
      <c r="AD9" s="106" t="s">
        <v>35</v>
      </c>
      <c r="AE9" s="107" t="s">
        <v>28</v>
      </c>
    </row>
    <row r="10" spans="1:32" ht="36.75" customHeight="1" x14ac:dyDescent="0.25">
      <c r="A10" s="81">
        <v>40694</v>
      </c>
      <c r="B10" s="82" t="s">
        <v>84</v>
      </c>
      <c r="C10" s="83" t="s">
        <v>7</v>
      </c>
      <c r="D10" s="83" t="s">
        <v>4</v>
      </c>
      <c r="E10" s="111" t="s">
        <v>126</v>
      </c>
      <c r="F10" s="84" t="s">
        <v>30</v>
      </c>
      <c r="G10" s="84" t="s">
        <v>142</v>
      </c>
      <c r="H10" s="83" t="s">
        <v>22</v>
      </c>
      <c r="I10" s="85">
        <v>41090</v>
      </c>
      <c r="J10" s="83" t="s">
        <v>130</v>
      </c>
      <c r="K10" s="86"/>
      <c r="L10" s="86"/>
      <c r="M10" s="86"/>
      <c r="N10" s="86"/>
      <c r="O10" s="86"/>
      <c r="P10" s="87"/>
      <c r="Q10" s="87"/>
      <c r="R10" s="87">
        <v>34.200000000000003</v>
      </c>
      <c r="S10" s="87">
        <v>0</v>
      </c>
      <c r="T10" s="87">
        <f t="shared" ref="T10:T13" si="1">+R10+S10</f>
        <v>34.200000000000003</v>
      </c>
      <c r="U10" s="109"/>
      <c r="V10" s="110"/>
      <c r="W10" s="109"/>
      <c r="Z10" s="117" t="s">
        <v>125</v>
      </c>
      <c r="AA10" s="105"/>
      <c r="AB10" s="105" t="s">
        <v>17</v>
      </c>
      <c r="AC10" s="105"/>
      <c r="AD10" s="106" t="s">
        <v>46</v>
      </c>
      <c r="AE10" s="107" t="s">
        <v>34</v>
      </c>
    </row>
    <row r="11" spans="1:32" ht="36.75" customHeight="1" x14ac:dyDescent="0.25">
      <c r="A11" s="89">
        <v>40694</v>
      </c>
      <c r="B11" s="90" t="s">
        <v>8</v>
      </c>
      <c r="C11" s="91" t="s">
        <v>7</v>
      </c>
      <c r="D11" s="91" t="s">
        <v>4</v>
      </c>
      <c r="E11" s="91" t="s">
        <v>126</v>
      </c>
      <c r="F11" s="92" t="s">
        <v>30</v>
      </c>
      <c r="G11" s="91" t="s">
        <v>142</v>
      </c>
      <c r="H11" s="91" t="s">
        <v>22</v>
      </c>
      <c r="I11" s="93">
        <v>41455</v>
      </c>
      <c r="J11" s="91" t="s">
        <v>131</v>
      </c>
      <c r="K11" s="94"/>
      <c r="L11" s="94"/>
      <c r="M11" s="94"/>
      <c r="N11" s="94"/>
      <c r="O11" s="94"/>
      <c r="P11" s="95"/>
      <c r="Q11" s="95"/>
      <c r="R11" s="95">
        <v>25.5</v>
      </c>
      <c r="S11" s="95">
        <v>0</v>
      </c>
      <c r="T11" s="95">
        <f t="shared" si="1"/>
        <v>25.5</v>
      </c>
      <c r="U11" s="109"/>
      <c r="V11" s="110"/>
      <c r="W11" s="109"/>
      <c r="Z11" s="117" t="s">
        <v>128</v>
      </c>
      <c r="AA11" s="105"/>
      <c r="AB11" s="105"/>
      <c r="AC11" s="105"/>
      <c r="AD11" s="106" t="s">
        <v>142</v>
      </c>
      <c r="AE11" s="107" t="s">
        <v>142</v>
      </c>
    </row>
    <row r="12" spans="1:32" ht="36.75" customHeight="1" x14ac:dyDescent="0.25">
      <c r="A12" s="81">
        <v>40694</v>
      </c>
      <c r="B12" s="82" t="s">
        <v>8</v>
      </c>
      <c r="C12" s="83" t="s">
        <v>7</v>
      </c>
      <c r="D12" s="83" t="s">
        <v>4</v>
      </c>
      <c r="E12" s="83" t="s">
        <v>126</v>
      </c>
      <c r="F12" s="84" t="s">
        <v>30</v>
      </c>
      <c r="G12" s="84" t="s">
        <v>142</v>
      </c>
      <c r="H12" s="83" t="s">
        <v>22</v>
      </c>
      <c r="I12" s="85">
        <v>41820</v>
      </c>
      <c r="J12" s="83" t="s">
        <v>132</v>
      </c>
      <c r="K12" s="86"/>
      <c r="L12" s="86"/>
      <c r="M12" s="86"/>
      <c r="N12" s="86"/>
      <c r="O12" s="86"/>
      <c r="P12" s="87"/>
      <c r="Q12" s="87"/>
      <c r="R12" s="87">
        <v>4.53</v>
      </c>
      <c r="S12" s="87">
        <v>0</v>
      </c>
      <c r="T12" s="87">
        <f t="shared" si="1"/>
        <v>4.53</v>
      </c>
      <c r="U12" s="109"/>
      <c r="V12" s="110"/>
      <c r="W12" s="109"/>
      <c r="Z12" s="104" t="s">
        <v>92</v>
      </c>
      <c r="AA12" s="105" t="s">
        <v>9</v>
      </c>
      <c r="AB12" s="105" t="s">
        <v>22</v>
      </c>
      <c r="AC12" s="105" t="s">
        <v>105</v>
      </c>
      <c r="AD12" s="106" t="s">
        <v>37</v>
      </c>
      <c r="AE12" s="107" t="s">
        <v>30</v>
      </c>
    </row>
    <row r="13" spans="1:32" ht="36.75" customHeight="1" x14ac:dyDescent="0.25">
      <c r="A13" s="89">
        <v>40694</v>
      </c>
      <c r="B13" s="90" t="s">
        <v>8</v>
      </c>
      <c r="C13" s="91" t="s">
        <v>7</v>
      </c>
      <c r="D13" s="91"/>
      <c r="E13" s="91"/>
      <c r="F13" s="92"/>
      <c r="G13" s="91"/>
      <c r="H13" s="91" t="s">
        <v>22</v>
      </c>
      <c r="I13" s="93">
        <v>42185</v>
      </c>
      <c r="J13" s="91" t="s">
        <v>133</v>
      </c>
      <c r="K13" s="94"/>
      <c r="L13" s="94"/>
      <c r="M13" s="94"/>
      <c r="N13" s="94"/>
      <c r="O13" s="94"/>
      <c r="P13" s="95"/>
      <c r="Q13" s="95"/>
      <c r="R13" s="129">
        <v>0</v>
      </c>
      <c r="S13" s="129">
        <v>0</v>
      </c>
      <c r="T13" s="129">
        <f t="shared" si="1"/>
        <v>0</v>
      </c>
      <c r="U13" s="109"/>
      <c r="V13" s="110"/>
      <c r="W13" s="109"/>
      <c r="Z13" s="117" t="s">
        <v>194</v>
      </c>
      <c r="AA13" s="105"/>
      <c r="AB13" s="105" t="s">
        <v>17</v>
      </c>
      <c r="AC13" s="105"/>
      <c r="AD13" s="106" t="s">
        <v>117</v>
      </c>
      <c r="AE13" s="107" t="s">
        <v>121</v>
      </c>
    </row>
    <row r="14" spans="1:32" s="97" customFormat="1" ht="36.75" customHeight="1" x14ac:dyDescent="0.25">
      <c r="A14" s="113">
        <v>40694</v>
      </c>
      <c r="B14" s="82"/>
      <c r="C14" s="111"/>
      <c r="D14" s="111" t="s">
        <v>155</v>
      </c>
      <c r="E14" s="111"/>
      <c r="F14" s="84"/>
      <c r="G14" s="84"/>
      <c r="H14" s="111"/>
      <c r="I14" s="114"/>
      <c r="J14" s="111"/>
      <c r="K14" s="115"/>
      <c r="L14" s="115"/>
      <c r="M14" s="115"/>
      <c r="N14" s="115"/>
      <c r="O14" s="115"/>
      <c r="P14" s="116"/>
      <c r="Q14" s="116"/>
      <c r="R14" s="130">
        <f>SUM(R9:R13)</f>
        <v>103.33000000000001</v>
      </c>
      <c r="S14" s="131">
        <f>SUM(S9:S13)</f>
        <v>-37.251874243941998</v>
      </c>
      <c r="T14" s="131">
        <f>+R14+S14</f>
        <v>66.078125756058014</v>
      </c>
      <c r="U14" s="130">
        <f>+T14-V14</f>
        <v>55.584724756058016</v>
      </c>
      <c r="V14" s="131">
        <v>10.493401</v>
      </c>
      <c r="W14" s="131">
        <v>35</v>
      </c>
      <c r="Z14" s="104" t="s">
        <v>2</v>
      </c>
      <c r="AA14" s="112" t="s">
        <v>10</v>
      </c>
      <c r="AB14" s="105" t="s">
        <v>19</v>
      </c>
      <c r="AC14" s="105"/>
      <c r="AD14" s="106" t="s">
        <v>42</v>
      </c>
      <c r="AE14" s="107" t="s">
        <v>40</v>
      </c>
    </row>
    <row r="15" spans="1:32" ht="36.75" customHeight="1" x14ac:dyDescent="0.25">
      <c r="A15" s="89">
        <v>40694</v>
      </c>
      <c r="B15" s="90" t="s">
        <v>84</v>
      </c>
      <c r="C15" s="91" t="s">
        <v>7</v>
      </c>
      <c r="D15" s="91" t="s">
        <v>27</v>
      </c>
      <c r="E15" s="91" t="s">
        <v>127</v>
      </c>
      <c r="F15" s="92" t="s">
        <v>33</v>
      </c>
      <c r="G15" s="91" t="s">
        <v>45</v>
      </c>
      <c r="H15" s="91" t="s">
        <v>22</v>
      </c>
      <c r="I15" s="93">
        <v>40724</v>
      </c>
      <c r="J15" s="91" t="s">
        <v>134</v>
      </c>
      <c r="K15" s="94"/>
      <c r="L15" s="94"/>
      <c r="M15" s="94"/>
      <c r="N15" s="94"/>
      <c r="O15" s="94"/>
      <c r="P15" s="95"/>
      <c r="Q15" s="95"/>
      <c r="R15" s="94">
        <v>7.4437889999999998</v>
      </c>
      <c r="S15" s="95">
        <v>-6.5004205150000001</v>
      </c>
      <c r="T15" s="95">
        <f>+R15+S15</f>
        <v>0.9433684849999997</v>
      </c>
      <c r="U15" s="109"/>
      <c r="V15" s="110"/>
      <c r="W15" s="109"/>
      <c r="Z15" s="104" t="s">
        <v>11</v>
      </c>
      <c r="AA15" s="105" t="s">
        <v>3</v>
      </c>
      <c r="AB15" s="105" t="s">
        <v>16</v>
      </c>
      <c r="AC15" s="105" t="s">
        <v>106</v>
      </c>
      <c r="AD15" s="106" t="s">
        <v>38</v>
      </c>
      <c r="AE15" s="107" t="s">
        <v>31</v>
      </c>
    </row>
    <row r="16" spans="1:32" s="97" customFormat="1" ht="36.75" customHeight="1" x14ac:dyDescent="0.25">
      <c r="A16" s="113">
        <v>40694</v>
      </c>
      <c r="B16" s="82" t="s">
        <v>84</v>
      </c>
      <c r="C16" s="111" t="s">
        <v>7</v>
      </c>
      <c r="D16" s="111" t="s">
        <v>92</v>
      </c>
      <c r="E16" s="111" t="s">
        <v>128</v>
      </c>
      <c r="F16" s="84" t="s">
        <v>33</v>
      </c>
      <c r="G16" s="84" t="s">
        <v>44</v>
      </c>
      <c r="H16" s="111" t="s">
        <v>22</v>
      </c>
      <c r="I16" s="114">
        <v>40724</v>
      </c>
      <c r="J16" s="111" t="s">
        <v>134</v>
      </c>
      <c r="K16" s="115"/>
      <c r="L16" s="115"/>
      <c r="M16" s="115"/>
      <c r="N16" s="115"/>
      <c r="O16" s="115"/>
      <c r="P16" s="116"/>
      <c r="Q16" s="116"/>
      <c r="R16" s="115">
        <v>0.10809299999999999</v>
      </c>
      <c r="S16" s="116">
        <v>0</v>
      </c>
      <c r="T16" s="116">
        <f t="shared" ref="T16:T24" si="2">+R16+S16</f>
        <v>0.10809299999999999</v>
      </c>
      <c r="U16" s="109"/>
      <c r="V16" s="110"/>
      <c r="W16" s="109"/>
      <c r="Z16" s="104" t="s">
        <v>1</v>
      </c>
      <c r="AA16" s="105" t="s">
        <v>7</v>
      </c>
      <c r="AB16" s="105" t="s">
        <v>20</v>
      </c>
      <c r="AC16" s="105"/>
      <c r="AD16" s="106" t="s">
        <v>41</v>
      </c>
      <c r="AE16" s="107" t="s">
        <v>39</v>
      </c>
    </row>
    <row r="17" spans="1:31" ht="36.75" customHeight="1" x14ac:dyDescent="0.25">
      <c r="A17" s="89">
        <v>40694</v>
      </c>
      <c r="B17" s="90" t="s">
        <v>8</v>
      </c>
      <c r="C17" s="91" t="s">
        <v>7</v>
      </c>
      <c r="D17" s="91" t="s">
        <v>27</v>
      </c>
      <c r="E17" s="91" t="s">
        <v>127</v>
      </c>
      <c r="F17" s="92" t="s">
        <v>33</v>
      </c>
      <c r="G17" s="91" t="s">
        <v>45</v>
      </c>
      <c r="H17" s="91" t="s">
        <v>22</v>
      </c>
      <c r="I17" s="93">
        <v>41090</v>
      </c>
      <c r="J17" s="91" t="s">
        <v>135</v>
      </c>
      <c r="K17" s="94"/>
      <c r="L17" s="94"/>
      <c r="M17" s="94"/>
      <c r="N17" s="94"/>
      <c r="O17" s="94"/>
      <c r="P17" s="95"/>
      <c r="Q17" s="95"/>
      <c r="R17" s="94">
        <v>6.571148</v>
      </c>
      <c r="S17" s="95"/>
      <c r="T17" s="95">
        <f t="shared" si="2"/>
        <v>6.571148</v>
      </c>
      <c r="U17" s="109"/>
      <c r="V17" s="110"/>
      <c r="W17" s="109"/>
      <c r="Z17" s="104" t="s">
        <v>4</v>
      </c>
      <c r="AA17" s="105"/>
      <c r="AB17" s="105" t="s">
        <v>21</v>
      </c>
      <c r="AC17" s="105"/>
      <c r="AD17" s="106" t="s">
        <v>43</v>
      </c>
      <c r="AE17" s="107" t="s">
        <v>120</v>
      </c>
    </row>
    <row r="18" spans="1:31" s="97" customFormat="1" ht="36.75" customHeight="1" x14ac:dyDescent="0.25">
      <c r="A18" s="113">
        <v>40694</v>
      </c>
      <c r="B18" s="82" t="s">
        <v>8</v>
      </c>
      <c r="C18" s="111" t="s">
        <v>7</v>
      </c>
      <c r="D18" s="111" t="s">
        <v>92</v>
      </c>
      <c r="E18" s="111" t="s">
        <v>128</v>
      </c>
      <c r="F18" s="84" t="s">
        <v>33</v>
      </c>
      <c r="G18" s="84" t="s">
        <v>44</v>
      </c>
      <c r="H18" s="111" t="s">
        <v>22</v>
      </c>
      <c r="I18" s="114">
        <v>41090</v>
      </c>
      <c r="J18" s="111" t="s">
        <v>136</v>
      </c>
      <c r="K18" s="115"/>
      <c r="L18" s="115"/>
      <c r="M18" s="115"/>
      <c r="N18" s="115"/>
      <c r="O18" s="115"/>
      <c r="P18" s="116"/>
      <c r="Q18" s="116"/>
      <c r="R18" s="115">
        <v>0.25278499999999998</v>
      </c>
      <c r="S18" s="116"/>
      <c r="T18" s="116">
        <f t="shared" si="2"/>
        <v>0.25278499999999998</v>
      </c>
      <c r="U18" s="109"/>
      <c r="V18" s="110"/>
      <c r="W18" s="109"/>
      <c r="Z18" s="117" t="s">
        <v>126</v>
      </c>
      <c r="AA18" s="105"/>
      <c r="AB18" s="105"/>
      <c r="AC18" s="105"/>
      <c r="AD18" s="106" t="s">
        <v>118</v>
      </c>
      <c r="AE18" s="107" t="s">
        <v>122</v>
      </c>
    </row>
    <row r="19" spans="1:31" ht="36.75" customHeight="1" x14ac:dyDescent="0.25">
      <c r="A19" s="89">
        <v>40694</v>
      </c>
      <c r="B19" s="90" t="s">
        <v>8</v>
      </c>
      <c r="C19" s="91" t="s">
        <v>7</v>
      </c>
      <c r="D19" s="91" t="s">
        <v>27</v>
      </c>
      <c r="E19" s="91" t="s">
        <v>127</v>
      </c>
      <c r="F19" s="92" t="s">
        <v>33</v>
      </c>
      <c r="G19" s="91" t="s">
        <v>45</v>
      </c>
      <c r="H19" s="91" t="s">
        <v>22</v>
      </c>
      <c r="I19" s="93">
        <v>41455</v>
      </c>
      <c r="J19" s="91" t="s">
        <v>137</v>
      </c>
      <c r="K19" s="94"/>
      <c r="L19" s="94"/>
      <c r="M19" s="94"/>
      <c r="N19" s="94"/>
      <c r="O19" s="94"/>
      <c r="P19" s="95"/>
      <c r="Q19" s="95"/>
      <c r="R19" s="94">
        <v>5.2490870000000003</v>
      </c>
      <c r="S19" s="95"/>
      <c r="T19" s="95">
        <f t="shared" si="2"/>
        <v>5.2490870000000003</v>
      </c>
      <c r="U19" s="109"/>
      <c r="V19" s="110"/>
      <c r="W19" s="109"/>
      <c r="Z19" s="117" t="s">
        <v>156</v>
      </c>
      <c r="AA19" s="105"/>
      <c r="AB19" s="105" t="s">
        <v>14</v>
      </c>
      <c r="AC19" s="105"/>
      <c r="AD19" s="106" t="s">
        <v>45</v>
      </c>
      <c r="AE19" s="107" t="s">
        <v>33</v>
      </c>
    </row>
    <row r="20" spans="1:31" s="97" customFormat="1" ht="36.75" customHeight="1" thickBot="1" x14ac:dyDescent="0.3">
      <c r="A20" s="113">
        <v>40694</v>
      </c>
      <c r="B20" s="82" t="s">
        <v>84</v>
      </c>
      <c r="C20" s="111" t="s">
        <v>7</v>
      </c>
      <c r="D20" s="111" t="s">
        <v>92</v>
      </c>
      <c r="E20" s="111" t="s">
        <v>128</v>
      </c>
      <c r="F20" s="84" t="s">
        <v>33</v>
      </c>
      <c r="G20" s="84" t="s">
        <v>44</v>
      </c>
      <c r="H20" s="111" t="s">
        <v>22</v>
      </c>
      <c r="I20" s="114">
        <v>41455</v>
      </c>
      <c r="J20" s="111" t="s">
        <v>137</v>
      </c>
      <c r="K20" s="115"/>
      <c r="L20" s="115"/>
      <c r="M20" s="115"/>
      <c r="N20" s="115"/>
      <c r="O20" s="115"/>
      <c r="P20" s="116"/>
      <c r="Q20" s="116"/>
      <c r="R20" s="115">
        <v>2.6345E-2</v>
      </c>
      <c r="S20" s="116"/>
      <c r="T20" s="116">
        <f t="shared" si="2"/>
        <v>2.6345E-2</v>
      </c>
      <c r="U20" s="109"/>
      <c r="V20" s="110"/>
      <c r="W20" s="109"/>
      <c r="Z20" s="118" t="s">
        <v>155</v>
      </c>
      <c r="AA20" s="119"/>
      <c r="AB20" s="119" t="s">
        <v>21</v>
      </c>
      <c r="AC20" s="119"/>
      <c r="AD20" s="120" t="s">
        <v>44</v>
      </c>
      <c r="AE20" s="121" t="s">
        <v>32</v>
      </c>
    </row>
    <row r="21" spans="1:31" ht="36.75" customHeight="1" x14ac:dyDescent="0.25">
      <c r="A21" s="89">
        <v>40694</v>
      </c>
      <c r="B21" s="90" t="s">
        <v>84</v>
      </c>
      <c r="C21" s="91" t="s">
        <v>7</v>
      </c>
      <c r="D21" s="91" t="s">
        <v>27</v>
      </c>
      <c r="E21" s="91" t="s">
        <v>127</v>
      </c>
      <c r="F21" s="92" t="s">
        <v>33</v>
      </c>
      <c r="G21" s="91" t="s">
        <v>45</v>
      </c>
      <c r="H21" s="91" t="s">
        <v>22</v>
      </c>
      <c r="I21" s="93">
        <v>41820</v>
      </c>
      <c r="J21" s="91" t="s">
        <v>138</v>
      </c>
      <c r="K21" s="94"/>
      <c r="L21" s="94"/>
      <c r="M21" s="94"/>
      <c r="N21" s="94"/>
      <c r="O21" s="94"/>
      <c r="P21" s="95"/>
      <c r="Q21" s="95"/>
      <c r="R21" s="95">
        <v>0.92112799999999995</v>
      </c>
      <c r="S21" s="95"/>
      <c r="T21" s="95">
        <f t="shared" si="2"/>
        <v>0.92112799999999995</v>
      </c>
      <c r="U21" s="109"/>
      <c r="V21" s="110"/>
      <c r="W21" s="109"/>
    </row>
    <row r="22" spans="1:31" s="97" customFormat="1" ht="36.75" customHeight="1" x14ac:dyDescent="0.25">
      <c r="A22" s="113">
        <v>40694</v>
      </c>
      <c r="B22" s="82" t="s">
        <v>8</v>
      </c>
      <c r="C22" s="111" t="s">
        <v>7</v>
      </c>
      <c r="D22" s="111" t="s">
        <v>92</v>
      </c>
      <c r="E22" s="111" t="s">
        <v>128</v>
      </c>
      <c r="F22" s="84" t="s">
        <v>33</v>
      </c>
      <c r="G22" s="84" t="s">
        <v>44</v>
      </c>
      <c r="H22" s="111" t="s">
        <v>22</v>
      </c>
      <c r="I22" s="114">
        <v>41820</v>
      </c>
      <c r="J22" s="111" t="s">
        <v>138</v>
      </c>
      <c r="K22" s="115"/>
      <c r="L22" s="115"/>
      <c r="M22" s="115"/>
      <c r="N22" s="115"/>
      <c r="O22" s="115"/>
      <c r="P22" s="116"/>
      <c r="Q22" s="116"/>
      <c r="R22" s="116">
        <v>0.21435199999999999</v>
      </c>
      <c r="S22" s="116"/>
      <c r="T22" s="116">
        <f t="shared" si="2"/>
        <v>0.21435199999999999</v>
      </c>
      <c r="U22" s="109"/>
      <c r="V22" s="110"/>
      <c r="W22" s="109"/>
      <c r="AD22" s="100"/>
      <c r="AE22" s="100"/>
    </row>
    <row r="23" spans="1:31" ht="36.75" customHeight="1" x14ac:dyDescent="0.25">
      <c r="A23" s="89">
        <v>40694</v>
      </c>
      <c r="B23" s="90" t="s">
        <v>8</v>
      </c>
      <c r="C23" s="91" t="s">
        <v>7</v>
      </c>
      <c r="D23" s="91"/>
      <c r="E23" s="91"/>
      <c r="F23" s="92"/>
      <c r="G23" s="92"/>
      <c r="H23" s="91" t="s">
        <v>22</v>
      </c>
      <c r="I23" s="93">
        <v>42185</v>
      </c>
      <c r="J23" s="91" t="s">
        <v>139</v>
      </c>
      <c r="K23" s="94"/>
      <c r="L23" s="94"/>
      <c r="M23" s="94"/>
      <c r="N23" s="94"/>
      <c r="O23" s="94"/>
      <c r="P23" s="95"/>
      <c r="Q23" s="95"/>
      <c r="R23" s="95">
        <v>0</v>
      </c>
      <c r="S23" s="95"/>
      <c r="T23" s="95">
        <f t="shared" si="2"/>
        <v>0</v>
      </c>
      <c r="U23" s="109"/>
      <c r="V23" s="110"/>
      <c r="W23" s="109"/>
      <c r="Z23" s="76"/>
      <c r="AA23" s="76"/>
      <c r="AB23" s="76"/>
      <c r="AC23" s="76"/>
      <c r="AD23" s="123"/>
      <c r="AE23" s="123"/>
    </row>
    <row r="24" spans="1:31" s="97" customFormat="1" ht="36.75" customHeight="1" thickBot="1" x14ac:dyDescent="0.3">
      <c r="A24" s="122">
        <v>40694</v>
      </c>
      <c r="B24" s="137" t="s">
        <v>8</v>
      </c>
      <c r="C24" s="139" t="s">
        <v>7</v>
      </c>
      <c r="D24" s="139"/>
      <c r="E24" s="139"/>
      <c r="F24" s="139"/>
      <c r="G24" s="139"/>
      <c r="H24" s="139" t="s">
        <v>22</v>
      </c>
      <c r="I24" s="138">
        <v>42185</v>
      </c>
      <c r="J24" s="139" t="s">
        <v>139</v>
      </c>
      <c r="K24" s="115"/>
      <c r="L24" s="115"/>
      <c r="M24" s="115"/>
      <c r="N24" s="115"/>
      <c r="O24" s="115"/>
      <c r="P24" s="115"/>
      <c r="Q24" s="115"/>
      <c r="R24" s="136">
        <v>0</v>
      </c>
      <c r="S24" s="136"/>
      <c r="T24" s="136">
        <f t="shared" si="2"/>
        <v>0</v>
      </c>
      <c r="U24" s="109"/>
      <c r="V24" s="110"/>
      <c r="W24" s="109"/>
      <c r="Z24" s="76"/>
      <c r="AA24" s="98"/>
      <c r="AB24" s="98"/>
      <c r="AC24" s="98"/>
      <c r="AD24" s="111"/>
      <c r="AE24" s="111"/>
    </row>
    <row r="25" spans="1:31" ht="36.75" customHeight="1" thickTop="1" x14ac:dyDescent="0.25">
      <c r="B25" s="94"/>
      <c r="C25" s="94"/>
      <c r="D25" s="94" t="s">
        <v>156</v>
      </c>
      <c r="E25" s="94"/>
      <c r="F25" s="94"/>
      <c r="G25" s="94"/>
      <c r="H25" s="94"/>
      <c r="I25" s="94"/>
      <c r="J25" s="94"/>
      <c r="K25" s="94"/>
      <c r="L25" s="94"/>
      <c r="M25" s="94"/>
      <c r="N25" s="94"/>
      <c r="O25" s="94"/>
      <c r="P25" s="94"/>
      <c r="Q25" s="94"/>
      <c r="R25" s="134">
        <f>SUM(R15:R24)</f>
        <v>20.786726999999999</v>
      </c>
      <c r="S25" s="134">
        <f>SUM(S15:S24)</f>
        <v>-6.5004205150000001</v>
      </c>
      <c r="T25" s="134">
        <f>SUM(T15:T24)</f>
        <v>14.286306484999999</v>
      </c>
      <c r="U25" s="134">
        <f>+T25-V25</f>
        <v>15.343261484999999</v>
      </c>
      <c r="V25" s="134">
        <v>-1.0569550000000001</v>
      </c>
      <c r="W25" s="134">
        <v>0</v>
      </c>
      <c r="Z25" s="76"/>
      <c r="AA25" s="76"/>
      <c r="AB25" s="76"/>
      <c r="AC25" s="76"/>
      <c r="AD25" s="123"/>
      <c r="AE25" s="123"/>
    </row>
    <row r="26" spans="1:31" ht="36.75" customHeight="1" x14ac:dyDescent="0.25">
      <c r="B26" s="115"/>
      <c r="C26" s="115"/>
      <c r="D26" s="115" t="s">
        <v>85</v>
      </c>
      <c r="E26" s="115"/>
      <c r="F26" s="115"/>
      <c r="G26" s="115"/>
      <c r="H26" s="115"/>
      <c r="I26" s="115"/>
      <c r="J26" s="115"/>
      <c r="K26" s="115"/>
      <c r="L26" s="115"/>
      <c r="M26" s="130">
        <f>M8</f>
        <v>227.13750000000002</v>
      </c>
      <c r="N26" s="115"/>
      <c r="O26" s="130">
        <f>O8</f>
        <v>1.6131929499999997</v>
      </c>
      <c r="P26" s="130">
        <f>P8</f>
        <v>27.21683685</v>
      </c>
      <c r="Q26" s="115"/>
      <c r="R26" s="115"/>
      <c r="S26" s="115"/>
      <c r="T26" s="130">
        <f>T14+T25</f>
        <v>80.364432241058012</v>
      </c>
      <c r="U26" s="130">
        <f>+U25+U14</f>
        <v>70.927986241058022</v>
      </c>
      <c r="V26" s="130">
        <f>+V25+V14</f>
        <v>9.4364460000000001</v>
      </c>
      <c r="W26" s="115"/>
      <c r="Z26" s="76"/>
      <c r="AA26" s="76"/>
      <c r="AB26" s="76"/>
      <c r="AC26" s="76"/>
      <c r="AD26" s="123"/>
      <c r="AE26" s="123"/>
    </row>
    <row r="27" spans="1:31" x14ac:dyDescent="0.25">
      <c r="R27" s="75"/>
    </row>
    <row r="28" spans="1:31" x14ac:dyDescent="0.25">
      <c r="R28" s="75"/>
    </row>
  </sheetData>
  <mergeCells count="5">
    <mergeCell ref="A1:W1"/>
    <mergeCell ref="K2:P2"/>
    <mergeCell ref="R2:W2"/>
    <mergeCell ref="Z4:AE4"/>
    <mergeCell ref="Z5:AE5"/>
  </mergeCells>
  <dataValidations count="8">
    <dataValidation type="list" allowBlank="1" showInputMessage="1" showErrorMessage="1" sqref="H4:H25" xr:uid="{00000000-0002-0000-2D00-000000000000}">
      <formula1>$AB$7:$AB$18</formula1>
    </dataValidation>
    <dataValidation type="list" allowBlank="1" showInputMessage="1" showErrorMessage="1" sqref="C5:C25 E4 E14 E25" xr:uid="{00000000-0002-0000-2D00-000001000000}">
      <formula1>#REF!</formula1>
    </dataValidation>
    <dataValidation type="list" allowBlank="1" showInputMessage="1" showErrorMessage="1" sqref="B4:B25" xr:uid="{00000000-0002-0000-2D00-000002000000}">
      <formula1>$AC$7:$AC$10</formula1>
    </dataValidation>
    <dataValidation type="list" allowBlank="1" showInputMessage="1" showErrorMessage="1" sqref="F4:F25" xr:uid="{00000000-0002-0000-2D00-000003000000}">
      <formula1>$AE$7:$AE$20</formula1>
    </dataValidation>
    <dataValidation type="list" allowBlank="1" showInputMessage="1" showErrorMessage="1" sqref="G4:G25" xr:uid="{00000000-0002-0000-2D00-000004000000}">
      <formula1>$AD$7:$AD$20</formula1>
    </dataValidation>
    <dataValidation type="list" allowBlank="1" showInputMessage="1" showErrorMessage="1" sqref="D15:E24 D25 E5:E13 D9:D14 D4:D7" xr:uid="{00000000-0002-0000-2D00-000005000000}">
      <formula1>$Z$7:$Z$21</formula1>
    </dataValidation>
    <dataValidation type="list" allowBlank="1" showInputMessage="1" showErrorMessage="1" sqref="D29:E38" xr:uid="{00000000-0002-0000-2D00-000007000000}">
      <formula1>$A$66:$A$71</formula1>
    </dataValidation>
    <dataValidation type="list" allowBlank="1" showInputMessage="1" showErrorMessage="1" sqref="C4" xr:uid="{00000000-0002-0000-2D00-000009000000}">
      <formula1>$AA$7:$AA$11</formula1>
    </dataValidation>
  </dataValidations>
  <pageMargins left="0.25" right="0.25" top="0.75" bottom="0.75" header="0.3" footer="0.3"/>
  <pageSetup paperSize="5" scale="33" orientation="landscape" r:id="rId1"/>
  <headerFooter>
    <oddHeader>&amp;C&amp;"Arial,Bold"&amp;18University of Illinois - Derivative Position Report as of May 31, 2011&amp;R&amp;D
&amp;T</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27">
    <tabColor rgb="FFFF0000"/>
    <pageSetUpPr fitToPage="1"/>
  </sheetPr>
  <dimension ref="A1:AF28"/>
  <sheetViews>
    <sheetView topLeftCell="B2" zoomScale="55" zoomScaleNormal="55" workbookViewId="0">
      <selection activeCell="DD94" sqref="DD94"/>
    </sheetView>
  </sheetViews>
  <sheetFormatPr defaultColWidth="9.109375" defaultRowHeight="15" x14ac:dyDescent="0.25"/>
  <cols>
    <col min="1" max="1" width="12.6640625" style="77" hidden="1" customWidth="1"/>
    <col min="2" max="2" width="22" style="77" customWidth="1"/>
    <col min="3" max="3" width="23.6640625" style="77" customWidth="1"/>
    <col min="4" max="5" width="24.33203125" style="77" customWidth="1"/>
    <col min="6" max="7" width="21.44140625" style="77" customWidth="1"/>
    <col min="8" max="9" width="15.109375" style="77" customWidth="1"/>
    <col min="10" max="10" width="24" style="77" customWidth="1"/>
    <col min="11" max="11" width="14.77734375" style="77" hidden="1" customWidth="1"/>
    <col min="12" max="12" width="14.77734375" style="77" customWidth="1"/>
    <col min="13" max="13" width="13.77734375" style="77" customWidth="1"/>
    <col min="14" max="14" width="16.109375" style="77" customWidth="1"/>
    <col min="15" max="15" width="13.77734375" style="77" customWidth="1"/>
    <col min="16" max="16" width="16.6640625" style="77" customWidth="1"/>
    <col min="17" max="17" width="1.44140625" style="77" customWidth="1"/>
    <col min="18" max="21" width="16.6640625" style="77" customWidth="1"/>
    <col min="22" max="23" width="15.77734375" style="77" customWidth="1"/>
    <col min="24" max="24" width="16.44140625" style="77" customWidth="1"/>
    <col min="25" max="25" width="12.44140625" style="77" customWidth="1"/>
    <col min="26" max="26" width="32.109375" style="77" customWidth="1"/>
    <col min="27" max="27" width="31.77734375" style="77" customWidth="1"/>
    <col min="28" max="28" width="18.44140625" style="77" customWidth="1"/>
    <col min="29" max="29" width="22.77734375" style="77" customWidth="1"/>
    <col min="30" max="31" width="13.109375" style="99" customWidth="1"/>
    <col min="32" max="16384" width="9.109375" style="77"/>
  </cols>
  <sheetData>
    <row r="1" spans="1:32" ht="30.75" hidden="1" customHeight="1" x14ac:dyDescent="0.25">
      <c r="A1" s="912" t="s">
        <v>86</v>
      </c>
      <c r="B1" s="912"/>
      <c r="C1" s="912"/>
      <c r="D1" s="912"/>
      <c r="E1" s="912"/>
      <c r="F1" s="912"/>
      <c r="G1" s="912"/>
      <c r="H1" s="912"/>
      <c r="I1" s="912"/>
      <c r="J1" s="912"/>
      <c r="K1" s="912"/>
      <c r="L1" s="912"/>
      <c r="M1" s="912"/>
      <c r="N1" s="912"/>
      <c r="O1" s="912"/>
      <c r="P1" s="912"/>
      <c r="Q1" s="912"/>
      <c r="R1" s="912"/>
      <c r="S1" s="912"/>
      <c r="T1" s="912"/>
      <c r="U1" s="912"/>
      <c r="V1" s="912"/>
      <c r="W1" s="912"/>
      <c r="Y1" s="76"/>
      <c r="Z1" s="76"/>
      <c r="AA1" s="76"/>
      <c r="AB1" s="76"/>
      <c r="AC1" s="76"/>
      <c r="AD1" s="76"/>
      <c r="AE1" s="76"/>
      <c r="AF1" s="76"/>
    </row>
    <row r="2" spans="1:32" ht="30.75" customHeight="1" x14ac:dyDescent="0.25">
      <c r="A2" s="74"/>
      <c r="B2" s="74"/>
      <c r="C2" s="74"/>
      <c r="D2" s="74"/>
      <c r="E2" s="74"/>
      <c r="F2" s="74"/>
      <c r="G2" s="74"/>
      <c r="H2" s="74"/>
      <c r="I2" s="74"/>
      <c r="J2" s="74"/>
      <c r="K2" s="913" t="s">
        <v>145</v>
      </c>
      <c r="L2" s="913"/>
      <c r="M2" s="913"/>
      <c r="N2" s="913"/>
      <c r="O2" s="913"/>
      <c r="P2" s="913"/>
      <c r="Q2" s="74"/>
      <c r="R2" s="914" t="s">
        <v>146</v>
      </c>
      <c r="S2" s="914"/>
      <c r="T2" s="914"/>
      <c r="U2" s="914"/>
      <c r="V2" s="914"/>
      <c r="W2" s="914"/>
      <c r="X2" s="75"/>
      <c r="Y2" s="76"/>
      <c r="Z2" s="76"/>
      <c r="AA2" s="76"/>
      <c r="AB2" s="76"/>
      <c r="AC2" s="76"/>
      <c r="AD2" s="76"/>
      <c r="AE2" s="76"/>
      <c r="AF2" s="76"/>
    </row>
    <row r="3" spans="1:32" s="75" customFormat="1" ht="66" customHeight="1" thickBot="1" x14ac:dyDescent="0.3">
      <c r="A3" s="78" t="s">
        <v>87</v>
      </c>
      <c r="B3" s="124" t="s">
        <v>89</v>
      </c>
      <c r="C3" s="124" t="s">
        <v>90</v>
      </c>
      <c r="D3" s="125" t="s">
        <v>0</v>
      </c>
      <c r="E3" s="125" t="s">
        <v>124</v>
      </c>
      <c r="F3" s="124" t="s">
        <v>143</v>
      </c>
      <c r="G3" s="124" t="s">
        <v>144</v>
      </c>
      <c r="H3" s="124" t="s">
        <v>13</v>
      </c>
      <c r="I3" s="124" t="s">
        <v>88</v>
      </c>
      <c r="J3" s="124" t="s">
        <v>12</v>
      </c>
      <c r="K3" s="126" t="s">
        <v>147</v>
      </c>
      <c r="L3" s="126" t="s">
        <v>158</v>
      </c>
      <c r="M3" s="126" t="s">
        <v>148</v>
      </c>
      <c r="N3" s="126" t="s">
        <v>153</v>
      </c>
      <c r="O3" s="126" t="s">
        <v>104</v>
      </c>
      <c r="P3" s="126" t="s">
        <v>154</v>
      </c>
      <c r="Q3" s="127" t="s">
        <v>107</v>
      </c>
      <c r="R3" s="124" t="s">
        <v>150</v>
      </c>
      <c r="S3" s="124" t="s">
        <v>151</v>
      </c>
      <c r="T3" s="124" t="s">
        <v>157</v>
      </c>
      <c r="U3" s="124" t="s">
        <v>149</v>
      </c>
      <c r="V3" s="124" t="s">
        <v>154</v>
      </c>
      <c r="W3" s="124" t="s">
        <v>152</v>
      </c>
      <c r="X3" s="77"/>
      <c r="Y3" s="76"/>
      <c r="Z3" s="76"/>
      <c r="AA3" s="76"/>
      <c r="AB3" s="76"/>
      <c r="AC3" s="76"/>
      <c r="AD3" s="76"/>
      <c r="AE3" s="76"/>
      <c r="AF3" s="76"/>
    </row>
    <row r="4" spans="1:32" ht="36.75" customHeight="1" x14ac:dyDescent="0.25">
      <c r="A4" s="81">
        <v>40663</v>
      </c>
      <c r="B4" s="82" t="s">
        <v>84</v>
      </c>
      <c r="C4" s="83" t="s">
        <v>3</v>
      </c>
      <c r="D4" s="83" t="s">
        <v>1</v>
      </c>
      <c r="E4" s="83" t="s">
        <v>1</v>
      </c>
      <c r="F4" s="84" t="s">
        <v>40</v>
      </c>
      <c r="G4" s="84" t="s">
        <v>42</v>
      </c>
      <c r="H4" s="83" t="s">
        <v>14</v>
      </c>
      <c r="I4" s="85">
        <v>44423</v>
      </c>
      <c r="J4" s="84" t="s">
        <v>23</v>
      </c>
      <c r="K4" s="86">
        <v>143.66499999999999</v>
      </c>
      <c r="L4" s="86">
        <v>143.66499999999999</v>
      </c>
      <c r="M4" s="86">
        <v>132.12</v>
      </c>
      <c r="N4" s="86">
        <f>P4-O4</f>
        <v>11.71789579</v>
      </c>
      <c r="O4" s="86">
        <v>0.95499065999999999</v>
      </c>
      <c r="P4" s="87">
        <v>12.67288645</v>
      </c>
      <c r="Q4" s="87"/>
      <c r="R4" s="87"/>
      <c r="S4" s="87"/>
      <c r="T4" s="87"/>
      <c r="U4" s="87"/>
      <c r="V4" s="88"/>
      <c r="W4" s="88"/>
      <c r="Z4" s="894" t="s">
        <v>83</v>
      </c>
      <c r="AA4" s="895"/>
      <c r="AB4" s="895"/>
      <c r="AC4" s="895"/>
      <c r="AD4" s="895"/>
      <c r="AE4" s="896"/>
    </row>
    <row r="5" spans="1:32" ht="36.75" customHeight="1" x14ac:dyDescent="0.25">
      <c r="A5" s="89">
        <v>40663</v>
      </c>
      <c r="B5" s="90" t="s">
        <v>84</v>
      </c>
      <c r="C5" s="91" t="s">
        <v>3</v>
      </c>
      <c r="D5" s="91" t="s">
        <v>1</v>
      </c>
      <c r="E5" s="91" t="s">
        <v>1</v>
      </c>
      <c r="F5" s="92" t="s">
        <v>40</v>
      </c>
      <c r="G5" s="91" t="s">
        <v>42</v>
      </c>
      <c r="H5" s="91" t="s">
        <v>14</v>
      </c>
      <c r="I5" s="93">
        <v>44576</v>
      </c>
      <c r="J5" s="92" t="s">
        <v>24</v>
      </c>
      <c r="K5" s="94">
        <v>26.85</v>
      </c>
      <c r="L5" s="94">
        <v>26.85</v>
      </c>
      <c r="M5" s="94">
        <v>27.4</v>
      </c>
      <c r="N5" s="94">
        <f t="shared" ref="N5:N7" si="0">P5-O5</f>
        <v>3.7563548199999999</v>
      </c>
      <c r="O5" s="94">
        <v>6.8561609999999995E-2</v>
      </c>
      <c r="P5" s="95">
        <v>3.82491643</v>
      </c>
      <c r="Q5" s="95"/>
      <c r="R5" s="95"/>
      <c r="S5" s="95"/>
      <c r="T5" s="95"/>
      <c r="U5" s="95"/>
      <c r="V5" s="96"/>
      <c r="W5" s="96"/>
      <c r="Z5" s="915"/>
      <c r="AA5" s="916"/>
      <c r="AB5" s="916"/>
      <c r="AC5" s="916"/>
      <c r="AD5" s="916"/>
      <c r="AE5" s="917"/>
    </row>
    <row r="6" spans="1:32" ht="36.75" customHeight="1" thickBot="1" x14ac:dyDescent="0.3">
      <c r="A6" s="81">
        <v>40663</v>
      </c>
      <c r="B6" s="82" t="s">
        <v>84</v>
      </c>
      <c r="C6" s="83" t="s">
        <v>3</v>
      </c>
      <c r="D6" s="83" t="s">
        <v>194</v>
      </c>
      <c r="E6" s="83" t="s">
        <v>194</v>
      </c>
      <c r="F6" s="84" t="s">
        <v>31</v>
      </c>
      <c r="G6" s="84" t="s">
        <v>36</v>
      </c>
      <c r="H6" s="83" t="s">
        <v>14</v>
      </c>
      <c r="I6" s="85">
        <v>44576</v>
      </c>
      <c r="J6" s="84" t="s">
        <v>24</v>
      </c>
      <c r="K6" s="86">
        <v>26.85</v>
      </c>
      <c r="L6" s="86">
        <v>26.85</v>
      </c>
      <c r="M6" s="86">
        <v>26.7425</v>
      </c>
      <c r="N6" s="86">
        <f t="shared" si="0"/>
        <v>3.6860135399999998</v>
      </c>
      <c r="O6" s="86">
        <v>6.7266229999999996E-2</v>
      </c>
      <c r="P6" s="87">
        <v>3.7532797699999998</v>
      </c>
      <c r="Q6" s="87"/>
      <c r="R6" s="87"/>
      <c r="S6" s="87"/>
      <c r="T6" s="87"/>
      <c r="U6" s="87"/>
      <c r="V6" s="88"/>
      <c r="W6" s="88"/>
      <c r="Z6" s="101" t="s">
        <v>5</v>
      </c>
      <c r="AA6" s="102" t="s">
        <v>6</v>
      </c>
      <c r="AB6" s="102" t="s">
        <v>13</v>
      </c>
      <c r="AC6" s="102" t="s">
        <v>82</v>
      </c>
      <c r="AD6" s="102" t="s">
        <v>115</v>
      </c>
      <c r="AE6" s="103" t="s">
        <v>116</v>
      </c>
    </row>
    <row r="7" spans="1:32" ht="36.75" customHeight="1" x14ac:dyDescent="0.25">
      <c r="A7" s="89">
        <v>40663</v>
      </c>
      <c r="B7" s="90" t="s">
        <v>84</v>
      </c>
      <c r="C7" s="91" t="s">
        <v>3</v>
      </c>
      <c r="D7" s="91" t="s">
        <v>11</v>
      </c>
      <c r="E7" s="91" t="s">
        <v>125</v>
      </c>
      <c r="F7" s="92" t="s">
        <v>39</v>
      </c>
      <c r="G7" s="91" t="s">
        <v>38</v>
      </c>
      <c r="H7" s="91" t="s">
        <v>14</v>
      </c>
      <c r="I7" s="93">
        <v>46296</v>
      </c>
      <c r="J7" s="92" t="s">
        <v>25</v>
      </c>
      <c r="K7" s="94">
        <v>40.875</v>
      </c>
      <c r="L7" s="132">
        <v>40.875</v>
      </c>
      <c r="M7" s="132">
        <v>40.875</v>
      </c>
      <c r="N7" s="132">
        <f t="shared" si="0"/>
        <v>4.2192686699999999</v>
      </c>
      <c r="O7" s="132">
        <v>9.2224840000000002E-2</v>
      </c>
      <c r="P7" s="129">
        <v>4.31149351</v>
      </c>
      <c r="Q7" s="95"/>
      <c r="R7" s="95"/>
      <c r="S7" s="95"/>
      <c r="T7" s="95"/>
      <c r="U7" s="95"/>
      <c r="V7" s="96"/>
      <c r="W7" s="96"/>
      <c r="Z7" s="104" t="s">
        <v>91</v>
      </c>
      <c r="AA7" s="105" t="s">
        <v>26</v>
      </c>
      <c r="AB7" s="105" t="s">
        <v>15</v>
      </c>
      <c r="AC7" s="105" t="s">
        <v>8</v>
      </c>
      <c r="AD7" s="106" t="s">
        <v>36</v>
      </c>
      <c r="AE7" s="107" t="s">
        <v>29</v>
      </c>
    </row>
    <row r="8" spans="1:32" ht="36.75" customHeight="1" x14ac:dyDescent="0.25">
      <c r="A8" s="81">
        <v>40663</v>
      </c>
      <c r="B8" s="82"/>
      <c r="C8" s="83"/>
      <c r="D8" s="111" t="s">
        <v>159</v>
      </c>
      <c r="E8" s="83"/>
      <c r="F8" s="84"/>
      <c r="G8" s="84"/>
      <c r="H8" s="108"/>
      <c r="I8" s="85"/>
      <c r="J8" s="83"/>
      <c r="K8" s="86"/>
      <c r="L8" s="133">
        <f>SUM(L4:L7)</f>
        <v>238.23999999999998</v>
      </c>
      <c r="M8" s="133">
        <f>SUM(M4:M7)</f>
        <v>227.13750000000002</v>
      </c>
      <c r="N8" s="133">
        <f>SUM(N4:N7)</f>
        <v>23.379532820000001</v>
      </c>
      <c r="O8" s="133">
        <f>SUM(O4:O7)</f>
        <v>1.18304334</v>
      </c>
      <c r="P8" s="133">
        <f>SUM(P4:P7)</f>
        <v>24.562576159999999</v>
      </c>
      <c r="Q8" s="87"/>
      <c r="R8" s="87"/>
      <c r="S8" s="87"/>
      <c r="T8" s="87"/>
      <c r="U8" s="87"/>
      <c r="V8" s="88"/>
      <c r="W8" s="88"/>
      <c r="Z8" s="117" t="s">
        <v>127</v>
      </c>
      <c r="AA8" s="105"/>
      <c r="AB8" s="105"/>
      <c r="AC8" s="105"/>
      <c r="AD8" s="106" t="s">
        <v>119</v>
      </c>
      <c r="AE8" s="107" t="s">
        <v>123</v>
      </c>
    </row>
    <row r="9" spans="1:32" ht="36.75" customHeight="1" x14ac:dyDescent="0.25">
      <c r="A9" s="89">
        <v>40663</v>
      </c>
      <c r="B9" s="90" t="s">
        <v>84</v>
      </c>
      <c r="C9" s="91" t="s">
        <v>7</v>
      </c>
      <c r="D9" s="91" t="s">
        <v>4</v>
      </c>
      <c r="E9" s="91" t="s">
        <v>126</v>
      </c>
      <c r="F9" s="92" t="s">
        <v>30</v>
      </c>
      <c r="G9" s="91" t="s">
        <v>142</v>
      </c>
      <c r="H9" s="91" t="s">
        <v>22</v>
      </c>
      <c r="I9" s="93">
        <v>40724</v>
      </c>
      <c r="J9" s="91" t="s">
        <v>129</v>
      </c>
      <c r="K9" s="94"/>
      <c r="L9" s="94"/>
      <c r="M9" s="96"/>
      <c r="N9" s="96"/>
      <c r="O9" s="96"/>
      <c r="P9" s="95"/>
      <c r="Q9" s="95"/>
      <c r="R9" s="95">
        <v>39.1</v>
      </c>
      <c r="S9" s="95">
        <v>-34.988813042764498</v>
      </c>
      <c r="T9" s="95">
        <f>+R9-S9</f>
        <v>74.0888130427645</v>
      </c>
      <c r="U9" s="109"/>
      <c r="V9" s="110"/>
      <c r="W9" s="109"/>
      <c r="Z9" s="104" t="s">
        <v>27</v>
      </c>
      <c r="AA9" s="105" t="s">
        <v>8</v>
      </c>
      <c r="AB9" s="105" t="s">
        <v>18</v>
      </c>
      <c r="AC9" s="105" t="s">
        <v>84</v>
      </c>
      <c r="AD9" s="106" t="s">
        <v>35</v>
      </c>
      <c r="AE9" s="107" t="s">
        <v>28</v>
      </c>
    </row>
    <row r="10" spans="1:32" ht="36.75" customHeight="1" x14ac:dyDescent="0.25">
      <c r="A10" s="81">
        <v>40663</v>
      </c>
      <c r="B10" s="82" t="s">
        <v>84</v>
      </c>
      <c r="C10" s="83" t="s">
        <v>7</v>
      </c>
      <c r="D10" s="83" t="s">
        <v>4</v>
      </c>
      <c r="E10" s="111" t="s">
        <v>126</v>
      </c>
      <c r="F10" s="84" t="s">
        <v>30</v>
      </c>
      <c r="G10" s="84" t="s">
        <v>142</v>
      </c>
      <c r="H10" s="83" t="s">
        <v>22</v>
      </c>
      <c r="I10" s="85">
        <v>41090</v>
      </c>
      <c r="J10" s="83" t="s">
        <v>130</v>
      </c>
      <c r="K10" s="86"/>
      <c r="L10" s="86"/>
      <c r="M10" s="86"/>
      <c r="N10" s="86"/>
      <c r="O10" s="86"/>
      <c r="P10" s="87"/>
      <c r="Q10" s="87"/>
      <c r="R10" s="87">
        <v>34.200000000000003</v>
      </c>
      <c r="S10" s="87">
        <v>0</v>
      </c>
      <c r="T10" s="87">
        <v>34.200000000000003</v>
      </c>
      <c r="U10" s="109"/>
      <c r="V10" s="110"/>
      <c r="W10" s="109"/>
      <c r="Z10" s="117" t="s">
        <v>125</v>
      </c>
      <c r="AA10" s="105"/>
      <c r="AB10" s="105" t="s">
        <v>17</v>
      </c>
      <c r="AC10" s="105"/>
      <c r="AD10" s="106" t="s">
        <v>46</v>
      </c>
      <c r="AE10" s="107" t="s">
        <v>34</v>
      </c>
    </row>
    <row r="11" spans="1:32" ht="36.75" customHeight="1" x14ac:dyDescent="0.25">
      <c r="A11" s="89">
        <v>40663</v>
      </c>
      <c r="B11" s="90" t="s">
        <v>8</v>
      </c>
      <c r="C11" s="91" t="s">
        <v>7</v>
      </c>
      <c r="D11" s="91" t="s">
        <v>4</v>
      </c>
      <c r="E11" s="91" t="s">
        <v>126</v>
      </c>
      <c r="F11" s="92" t="s">
        <v>30</v>
      </c>
      <c r="G11" s="91" t="s">
        <v>142</v>
      </c>
      <c r="H11" s="91" t="s">
        <v>22</v>
      </c>
      <c r="I11" s="93">
        <v>41455</v>
      </c>
      <c r="J11" s="91" t="s">
        <v>131</v>
      </c>
      <c r="K11" s="94"/>
      <c r="L11" s="94"/>
      <c r="M11" s="94"/>
      <c r="N11" s="94"/>
      <c r="O11" s="94"/>
      <c r="P11" s="95"/>
      <c r="Q11" s="95"/>
      <c r="R11" s="95">
        <v>25.2</v>
      </c>
      <c r="S11" s="95">
        <v>0</v>
      </c>
      <c r="T11" s="95">
        <v>25.2</v>
      </c>
      <c r="U11" s="109"/>
      <c r="V11" s="110"/>
      <c r="W11" s="109"/>
      <c r="Z11" s="117" t="s">
        <v>128</v>
      </c>
      <c r="AA11" s="105"/>
      <c r="AB11" s="105"/>
      <c r="AC11" s="105"/>
      <c r="AD11" s="106" t="s">
        <v>142</v>
      </c>
      <c r="AE11" s="107" t="s">
        <v>142</v>
      </c>
    </row>
    <row r="12" spans="1:32" ht="36.75" customHeight="1" x14ac:dyDescent="0.25">
      <c r="A12" s="81">
        <v>40663</v>
      </c>
      <c r="B12" s="82" t="s">
        <v>8</v>
      </c>
      <c r="C12" s="83" t="s">
        <v>7</v>
      </c>
      <c r="D12" s="83" t="s">
        <v>4</v>
      </c>
      <c r="E12" s="83" t="s">
        <v>126</v>
      </c>
      <c r="F12" s="84" t="s">
        <v>30</v>
      </c>
      <c r="G12" s="84" t="s">
        <v>142</v>
      </c>
      <c r="H12" s="83" t="s">
        <v>22</v>
      </c>
      <c r="I12" s="85">
        <v>41820</v>
      </c>
      <c r="J12" s="83" t="s">
        <v>132</v>
      </c>
      <c r="K12" s="86"/>
      <c r="L12" s="86"/>
      <c r="M12" s="86"/>
      <c r="N12" s="86"/>
      <c r="O12" s="86"/>
      <c r="P12" s="87"/>
      <c r="Q12" s="87"/>
      <c r="R12" s="87">
        <v>4.53</v>
      </c>
      <c r="S12" s="87">
        <v>0</v>
      </c>
      <c r="T12" s="87">
        <v>4.5</v>
      </c>
      <c r="U12" s="109"/>
      <c r="V12" s="110"/>
      <c r="W12" s="109"/>
      <c r="Z12" s="104" t="s">
        <v>92</v>
      </c>
      <c r="AA12" s="105" t="s">
        <v>9</v>
      </c>
      <c r="AB12" s="105" t="s">
        <v>22</v>
      </c>
      <c r="AC12" s="105" t="s">
        <v>105</v>
      </c>
      <c r="AD12" s="106" t="s">
        <v>37</v>
      </c>
      <c r="AE12" s="107" t="s">
        <v>30</v>
      </c>
    </row>
    <row r="13" spans="1:32" ht="36.75" customHeight="1" x14ac:dyDescent="0.25">
      <c r="A13" s="89">
        <v>40663</v>
      </c>
      <c r="B13" s="90" t="s">
        <v>8</v>
      </c>
      <c r="C13" s="91" t="s">
        <v>7</v>
      </c>
      <c r="D13" s="91"/>
      <c r="E13" s="91"/>
      <c r="F13" s="92"/>
      <c r="G13" s="91"/>
      <c r="H13" s="91" t="s">
        <v>22</v>
      </c>
      <c r="I13" s="93">
        <v>42185</v>
      </c>
      <c r="J13" s="91" t="s">
        <v>133</v>
      </c>
      <c r="K13" s="94"/>
      <c r="L13" s="94"/>
      <c r="M13" s="94"/>
      <c r="N13" s="94"/>
      <c r="O13" s="94"/>
      <c r="P13" s="95"/>
      <c r="Q13" s="95"/>
      <c r="R13" s="129">
        <v>0</v>
      </c>
      <c r="S13" s="129">
        <v>0</v>
      </c>
      <c r="T13" s="129">
        <v>0</v>
      </c>
      <c r="U13" s="109"/>
      <c r="V13" s="110"/>
      <c r="W13" s="109"/>
      <c r="Z13" s="117" t="s">
        <v>194</v>
      </c>
      <c r="AA13" s="105"/>
      <c r="AB13" s="105" t="s">
        <v>17</v>
      </c>
      <c r="AC13" s="105"/>
      <c r="AD13" s="106" t="s">
        <v>117</v>
      </c>
      <c r="AE13" s="107" t="s">
        <v>121</v>
      </c>
    </row>
    <row r="14" spans="1:32" s="97" customFormat="1" ht="36.75" customHeight="1" x14ac:dyDescent="0.25">
      <c r="A14" s="113">
        <v>40663</v>
      </c>
      <c r="B14" s="82"/>
      <c r="C14" s="111"/>
      <c r="D14" s="111" t="s">
        <v>155</v>
      </c>
      <c r="E14" s="111"/>
      <c r="F14" s="84"/>
      <c r="G14" s="84"/>
      <c r="H14" s="111"/>
      <c r="I14" s="114"/>
      <c r="J14" s="111"/>
      <c r="K14" s="115"/>
      <c r="L14" s="115"/>
      <c r="M14" s="115"/>
      <c r="N14" s="115"/>
      <c r="O14" s="115"/>
      <c r="P14" s="116"/>
      <c r="Q14" s="116"/>
      <c r="R14" s="130">
        <f>SUM(R9:R13)</f>
        <v>103.03000000000002</v>
      </c>
      <c r="S14" s="131">
        <f>SUM(S9:S13)</f>
        <v>-34.988813042764498</v>
      </c>
      <c r="T14" s="131">
        <f>+R14+S14</f>
        <v>68.04118695723551</v>
      </c>
      <c r="U14" s="130">
        <f>+T14-V14</f>
        <v>57.487023957235508</v>
      </c>
      <c r="V14" s="131">
        <v>10.554163000000001</v>
      </c>
      <c r="W14" s="131">
        <v>35</v>
      </c>
      <c r="Z14" s="104" t="s">
        <v>2</v>
      </c>
      <c r="AA14" s="112" t="s">
        <v>10</v>
      </c>
      <c r="AB14" s="105" t="s">
        <v>19</v>
      </c>
      <c r="AC14" s="105"/>
      <c r="AD14" s="106" t="s">
        <v>42</v>
      </c>
      <c r="AE14" s="107" t="s">
        <v>40</v>
      </c>
    </row>
    <row r="15" spans="1:32" ht="36.75" customHeight="1" x14ac:dyDescent="0.25">
      <c r="A15" s="89">
        <v>40663</v>
      </c>
      <c r="B15" s="90" t="s">
        <v>84</v>
      </c>
      <c r="C15" s="91" t="s">
        <v>7</v>
      </c>
      <c r="D15" s="91" t="s">
        <v>27</v>
      </c>
      <c r="E15" s="91" t="s">
        <v>127</v>
      </c>
      <c r="F15" s="92" t="s">
        <v>33</v>
      </c>
      <c r="G15" s="91" t="s">
        <v>45</v>
      </c>
      <c r="H15" s="91" t="s">
        <v>22</v>
      </c>
      <c r="I15" s="93">
        <v>40724</v>
      </c>
      <c r="J15" s="91" t="s">
        <v>134</v>
      </c>
      <c r="K15" s="94"/>
      <c r="L15" s="94"/>
      <c r="M15" s="94"/>
      <c r="N15" s="94"/>
      <c r="O15" s="94"/>
      <c r="P15" s="95"/>
      <c r="Q15" s="95"/>
      <c r="R15" s="94">
        <v>7.4437889999999998</v>
      </c>
      <c r="S15" s="95">
        <v>-5.6108678750000003</v>
      </c>
      <c r="T15" s="95">
        <f>+R15+S15</f>
        <v>1.8329211249999995</v>
      </c>
      <c r="U15" s="109"/>
      <c r="V15" s="110"/>
      <c r="W15" s="109"/>
      <c r="Z15" s="104" t="s">
        <v>11</v>
      </c>
      <c r="AA15" s="105" t="s">
        <v>3</v>
      </c>
      <c r="AB15" s="105" t="s">
        <v>16</v>
      </c>
      <c r="AC15" s="105" t="s">
        <v>106</v>
      </c>
      <c r="AD15" s="106" t="s">
        <v>38</v>
      </c>
      <c r="AE15" s="107" t="s">
        <v>31</v>
      </c>
    </row>
    <row r="16" spans="1:32" s="97" customFormat="1" ht="36.75" customHeight="1" x14ac:dyDescent="0.25">
      <c r="A16" s="113">
        <v>40663</v>
      </c>
      <c r="B16" s="82" t="s">
        <v>84</v>
      </c>
      <c r="C16" s="111" t="s">
        <v>7</v>
      </c>
      <c r="D16" s="111" t="s">
        <v>92</v>
      </c>
      <c r="E16" s="111" t="s">
        <v>128</v>
      </c>
      <c r="F16" s="84" t="s">
        <v>33</v>
      </c>
      <c r="G16" s="84" t="s">
        <v>44</v>
      </c>
      <c r="H16" s="111" t="s">
        <v>22</v>
      </c>
      <c r="I16" s="114">
        <v>40724</v>
      </c>
      <c r="J16" s="111" t="s">
        <v>134</v>
      </c>
      <c r="K16" s="115"/>
      <c r="L16" s="115"/>
      <c r="M16" s="115"/>
      <c r="N16" s="115"/>
      <c r="O16" s="115"/>
      <c r="P16" s="116"/>
      <c r="Q16" s="116"/>
      <c r="R16" s="115">
        <v>0.10809299999999999</v>
      </c>
      <c r="S16" s="116">
        <v>0</v>
      </c>
      <c r="T16" s="116">
        <f t="shared" ref="T16:T24" si="1">+R16+S16</f>
        <v>0.10809299999999999</v>
      </c>
      <c r="U16" s="109"/>
      <c r="V16" s="110"/>
      <c r="W16" s="109"/>
      <c r="Z16" s="104" t="s">
        <v>1</v>
      </c>
      <c r="AA16" s="105" t="s">
        <v>7</v>
      </c>
      <c r="AB16" s="105" t="s">
        <v>20</v>
      </c>
      <c r="AC16" s="105"/>
      <c r="AD16" s="106" t="s">
        <v>41</v>
      </c>
      <c r="AE16" s="107" t="s">
        <v>39</v>
      </c>
    </row>
    <row r="17" spans="1:31" ht="36.75" customHeight="1" x14ac:dyDescent="0.25">
      <c r="A17" s="89">
        <v>40663</v>
      </c>
      <c r="B17" s="90" t="s">
        <v>8</v>
      </c>
      <c r="C17" s="91" t="s">
        <v>7</v>
      </c>
      <c r="D17" s="91" t="s">
        <v>27</v>
      </c>
      <c r="E17" s="91" t="s">
        <v>127</v>
      </c>
      <c r="F17" s="92" t="s">
        <v>33</v>
      </c>
      <c r="G17" s="91" t="s">
        <v>45</v>
      </c>
      <c r="H17" s="91" t="s">
        <v>22</v>
      </c>
      <c r="I17" s="93">
        <v>41090</v>
      </c>
      <c r="J17" s="91" t="s">
        <v>135</v>
      </c>
      <c r="K17" s="94"/>
      <c r="L17" s="94"/>
      <c r="M17" s="94"/>
      <c r="N17" s="94"/>
      <c r="O17" s="94"/>
      <c r="P17" s="95"/>
      <c r="Q17" s="95"/>
      <c r="R17" s="94">
        <v>6.571148</v>
      </c>
      <c r="S17" s="95"/>
      <c r="T17" s="95">
        <f t="shared" si="1"/>
        <v>6.571148</v>
      </c>
      <c r="U17" s="109"/>
      <c r="V17" s="110"/>
      <c r="W17" s="109"/>
      <c r="Z17" s="104" t="s">
        <v>4</v>
      </c>
      <c r="AA17" s="105"/>
      <c r="AB17" s="105" t="s">
        <v>21</v>
      </c>
      <c r="AC17" s="105"/>
      <c r="AD17" s="106" t="s">
        <v>43</v>
      </c>
      <c r="AE17" s="107" t="s">
        <v>120</v>
      </c>
    </row>
    <row r="18" spans="1:31" s="97" customFormat="1" ht="36.75" customHeight="1" x14ac:dyDescent="0.25">
      <c r="A18" s="113">
        <v>40663</v>
      </c>
      <c r="B18" s="82" t="s">
        <v>8</v>
      </c>
      <c r="C18" s="111" t="s">
        <v>7</v>
      </c>
      <c r="D18" s="111" t="s">
        <v>92</v>
      </c>
      <c r="E18" s="111" t="s">
        <v>128</v>
      </c>
      <c r="F18" s="84" t="s">
        <v>33</v>
      </c>
      <c r="G18" s="84" t="s">
        <v>44</v>
      </c>
      <c r="H18" s="111" t="s">
        <v>22</v>
      </c>
      <c r="I18" s="114">
        <v>41090</v>
      </c>
      <c r="J18" s="111" t="s">
        <v>136</v>
      </c>
      <c r="K18" s="115"/>
      <c r="L18" s="115"/>
      <c r="M18" s="115"/>
      <c r="N18" s="115"/>
      <c r="O18" s="115"/>
      <c r="P18" s="116"/>
      <c r="Q18" s="116"/>
      <c r="R18" s="115">
        <v>0.25278499999999998</v>
      </c>
      <c r="S18" s="116"/>
      <c r="T18" s="116">
        <f t="shared" si="1"/>
        <v>0.25278499999999998</v>
      </c>
      <c r="U18" s="109"/>
      <c r="V18" s="110"/>
      <c r="W18" s="109"/>
      <c r="Z18" s="117" t="s">
        <v>126</v>
      </c>
      <c r="AA18" s="105"/>
      <c r="AB18" s="105"/>
      <c r="AC18" s="105"/>
      <c r="AD18" s="106" t="s">
        <v>118</v>
      </c>
      <c r="AE18" s="107" t="s">
        <v>122</v>
      </c>
    </row>
    <row r="19" spans="1:31" ht="36.75" customHeight="1" x14ac:dyDescent="0.25">
      <c r="A19" s="89">
        <v>40663</v>
      </c>
      <c r="B19" s="90" t="s">
        <v>8</v>
      </c>
      <c r="C19" s="91" t="s">
        <v>7</v>
      </c>
      <c r="D19" s="91" t="s">
        <v>27</v>
      </c>
      <c r="E19" s="91" t="s">
        <v>127</v>
      </c>
      <c r="F19" s="92" t="s">
        <v>33</v>
      </c>
      <c r="G19" s="91" t="s">
        <v>45</v>
      </c>
      <c r="H19" s="91" t="s">
        <v>22</v>
      </c>
      <c r="I19" s="93">
        <v>41455</v>
      </c>
      <c r="J19" s="91" t="s">
        <v>137</v>
      </c>
      <c r="K19" s="94"/>
      <c r="L19" s="94"/>
      <c r="M19" s="94"/>
      <c r="N19" s="94"/>
      <c r="O19" s="94"/>
      <c r="P19" s="95"/>
      <c r="Q19" s="95"/>
      <c r="R19" s="94">
        <v>5.2490870000000003</v>
      </c>
      <c r="S19" s="95"/>
      <c r="T19" s="95">
        <f t="shared" si="1"/>
        <v>5.2490870000000003</v>
      </c>
      <c r="U19" s="109"/>
      <c r="V19" s="110"/>
      <c r="W19" s="109"/>
      <c r="Z19" s="117" t="s">
        <v>156</v>
      </c>
      <c r="AA19" s="105"/>
      <c r="AB19" s="105" t="s">
        <v>14</v>
      </c>
      <c r="AC19" s="105"/>
      <c r="AD19" s="106" t="s">
        <v>45</v>
      </c>
      <c r="AE19" s="107" t="s">
        <v>33</v>
      </c>
    </row>
    <row r="20" spans="1:31" s="97" customFormat="1" ht="36.75" customHeight="1" thickBot="1" x14ac:dyDescent="0.3">
      <c r="A20" s="113">
        <v>40663</v>
      </c>
      <c r="B20" s="82" t="s">
        <v>84</v>
      </c>
      <c r="C20" s="111" t="s">
        <v>7</v>
      </c>
      <c r="D20" s="111" t="s">
        <v>92</v>
      </c>
      <c r="E20" s="111" t="s">
        <v>128</v>
      </c>
      <c r="F20" s="84" t="s">
        <v>33</v>
      </c>
      <c r="G20" s="84" t="s">
        <v>44</v>
      </c>
      <c r="H20" s="111" t="s">
        <v>22</v>
      </c>
      <c r="I20" s="114">
        <v>41455</v>
      </c>
      <c r="J20" s="111" t="s">
        <v>137</v>
      </c>
      <c r="K20" s="115"/>
      <c r="L20" s="115"/>
      <c r="M20" s="115"/>
      <c r="N20" s="115"/>
      <c r="O20" s="115"/>
      <c r="P20" s="116"/>
      <c r="Q20" s="116"/>
      <c r="R20" s="115">
        <v>2.6345E-2</v>
      </c>
      <c r="S20" s="116"/>
      <c r="T20" s="116">
        <f t="shared" si="1"/>
        <v>2.6345E-2</v>
      </c>
      <c r="U20" s="109"/>
      <c r="V20" s="110"/>
      <c r="W20" s="109"/>
      <c r="Z20" s="118" t="s">
        <v>155</v>
      </c>
      <c r="AA20" s="119"/>
      <c r="AB20" s="119" t="s">
        <v>21</v>
      </c>
      <c r="AC20" s="119"/>
      <c r="AD20" s="120" t="s">
        <v>44</v>
      </c>
      <c r="AE20" s="121" t="s">
        <v>32</v>
      </c>
    </row>
    <row r="21" spans="1:31" ht="36.75" customHeight="1" x14ac:dyDescent="0.25">
      <c r="A21" s="89">
        <v>40663</v>
      </c>
      <c r="B21" s="90" t="s">
        <v>84</v>
      </c>
      <c r="C21" s="91" t="s">
        <v>7</v>
      </c>
      <c r="D21" s="91" t="s">
        <v>27</v>
      </c>
      <c r="E21" s="91" t="s">
        <v>127</v>
      </c>
      <c r="F21" s="92" t="s">
        <v>33</v>
      </c>
      <c r="G21" s="91" t="s">
        <v>45</v>
      </c>
      <c r="H21" s="91" t="s">
        <v>22</v>
      </c>
      <c r="I21" s="93">
        <v>41820</v>
      </c>
      <c r="J21" s="91" t="s">
        <v>138</v>
      </c>
      <c r="K21" s="94"/>
      <c r="L21" s="94"/>
      <c r="M21" s="94"/>
      <c r="N21" s="94"/>
      <c r="O21" s="94"/>
      <c r="P21" s="95"/>
      <c r="Q21" s="95"/>
      <c r="R21" s="95">
        <v>0.92112799999999995</v>
      </c>
      <c r="S21" s="95"/>
      <c r="T21" s="95">
        <f t="shared" si="1"/>
        <v>0.92112799999999995</v>
      </c>
      <c r="U21" s="109"/>
      <c r="V21" s="110"/>
      <c r="W21" s="109"/>
    </row>
    <row r="22" spans="1:31" s="97" customFormat="1" ht="36.75" customHeight="1" x14ac:dyDescent="0.25">
      <c r="A22" s="113">
        <v>40663</v>
      </c>
      <c r="B22" s="82" t="s">
        <v>8</v>
      </c>
      <c r="C22" s="111" t="s">
        <v>7</v>
      </c>
      <c r="D22" s="111" t="s">
        <v>92</v>
      </c>
      <c r="E22" s="111" t="s">
        <v>128</v>
      </c>
      <c r="F22" s="84" t="s">
        <v>33</v>
      </c>
      <c r="G22" s="84" t="s">
        <v>44</v>
      </c>
      <c r="H22" s="111" t="s">
        <v>22</v>
      </c>
      <c r="I22" s="114">
        <v>41820</v>
      </c>
      <c r="J22" s="111" t="s">
        <v>138</v>
      </c>
      <c r="K22" s="115"/>
      <c r="L22" s="115"/>
      <c r="M22" s="115"/>
      <c r="N22" s="115"/>
      <c r="O22" s="115"/>
      <c r="P22" s="116"/>
      <c r="Q22" s="116"/>
      <c r="R22" s="116">
        <v>0.21435199999999999</v>
      </c>
      <c r="S22" s="116"/>
      <c r="T22" s="116">
        <f t="shared" si="1"/>
        <v>0.21435199999999999</v>
      </c>
      <c r="U22" s="109"/>
      <c r="V22" s="110"/>
      <c r="W22" s="109"/>
      <c r="AD22" s="100"/>
      <c r="AE22" s="100"/>
    </row>
    <row r="23" spans="1:31" ht="36.75" customHeight="1" x14ac:dyDescent="0.25">
      <c r="A23" s="89">
        <v>40663</v>
      </c>
      <c r="B23" s="90" t="s">
        <v>8</v>
      </c>
      <c r="C23" s="91" t="s">
        <v>7</v>
      </c>
      <c r="D23" s="91"/>
      <c r="E23" s="91"/>
      <c r="F23" s="92"/>
      <c r="G23" s="92"/>
      <c r="H23" s="91" t="s">
        <v>22</v>
      </c>
      <c r="I23" s="93">
        <v>42185</v>
      </c>
      <c r="J23" s="91" t="s">
        <v>139</v>
      </c>
      <c r="K23" s="94"/>
      <c r="L23" s="94"/>
      <c r="M23" s="94"/>
      <c r="N23" s="94"/>
      <c r="O23" s="94"/>
      <c r="P23" s="95"/>
      <c r="Q23" s="95"/>
      <c r="R23" s="95">
        <v>0</v>
      </c>
      <c r="S23" s="95"/>
      <c r="T23" s="95">
        <f t="shared" si="1"/>
        <v>0</v>
      </c>
      <c r="U23" s="109"/>
      <c r="V23" s="110"/>
      <c r="W23" s="109"/>
      <c r="Z23" s="76"/>
      <c r="AA23" s="76"/>
      <c r="AB23" s="76"/>
      <c r="AC23" s="76"/>
      <c r="AD23" s="123"/>
      <c r="AE23" s="123"/>
    </row>
    <row r="24" spans="1:31" s="97" customFormat="1" ht="36.75" customHeight="1" thickBot="1" x14ac:dyDescent="0.3">
      <c r="A24" s="122">
        <v>40663</v>
      </c>
      <c r="B24" s="140" t="s">
        <v>8</v>
      </c>
      <c r="C24" s="139" t="s">
        <v>7</v>
      </c>
      <c r="D24" s="139"/>
      <c r="E24" s="139"/>
      <c r="F24" s="139"/>
      <c r="G24" s="139"/>
      <c r="H24" s="139" t="s">
        <v>22</v>
      </c>
      <c r="I24" s="138">
        <v>42185</v>
      </c>
      <c r="J24" s="139" t="s">
        <v>139</v>
      </c>
      <c r="K24" s="115"/>
      <c r="L24" s="115"/>
      <c r="M24" s="115"/>
      <c r="N24" s="115"/>
      <c r="O24" s="115"/>
      <c r="P24" s="115"/>
      <c r="Q24" s="115"/>
      <c r="R24" s="136">
        <v>0</v>
      </c>
      <c r="S24" s="136"/>
      <c r="T24" s="136">
        <f t="shared" si="1"/>
        <v>0</v>
      </c>
      <c r="U24" s="109"/>
      <c r="V24" s="110"/>
      <c r="W24" s="109"/>
      <c r="Z24" s="76"/>
      <c r="AA24" s="98"/>
      <c r="AB24" s="98"/>
      <c r="AC24" s="98"/>
      <c r="AD24" s="111"/>
      <c r="AE24" s="111"/>
    </row>
    <row r="25" spans="1:31" ht="36.75" customHeight="1" thickTop="1" x14ac:dyDescent="0.25">
      <c r="B25" s="94"/>
      <c r="C25" s="94"/>
      <c r="D25" s="94" t="s">
        <v>156</v>
      </c>
      <c r="E25" s="94"/>
      <c r="F25" s="94"/>
      <c r="G25" s="94"/>
      <c r="H25" s="94"/>
      <c r="I25" s="94"/>
      <c r="J25" s="94"/>
      <c r="K25" s="94"/>
      <c r="L25" s="94"/>
      <c r="M25" s="94"/>
      <c r="N25" s="94"/>
      <c r="O25" s="94"/>
      <c r="P25" s="94"/>
      <c r="Q25" s="94"/>
      <c r="R25" s="134">
        <f>SUM(R15:R24)</f>
        <v>20.786726999999999</v>
      </c>
      <c r="S25" s="134">
        <f>SUM(S15:S24)</f>
        <v>-5.6108678750000003</v>
      </c>
      <c r="T25" s="134">
        <f>SUM(T15:T24)</f>
        <v>15.175859124999997</v>
      </c>
      <c r="U25" s="134">
        <f>+T25-V25</f>
        <v>15.834943780999996</v>
      </c>
      <c r="V25" s="134">
        <v>-0.65908465599999999</v>
      </c>
      <c r="W25" s="134">
        <v>0</v>
      </c>
      <c r="Z25" s="76"/>
      <c r="AA25" s="76"/>
      <c r="AB25" s="76"/>
      <c r="AC25" s="76"/>
      <c r="AD25" s="123"/>
      <c r="AE25" s="123"/>
    </row>
    <row r="26" spans="1:31" ht="36.75" customHeight="1" x14ac:dyDescent="0.25">
      <c r="B26" s="115"/>
      <c r="C26" s="115"/>
      <c r="D26" s="115" t="s">
        <v>85</v>
      </c>
      <c r="E26" s="115"/>
      <c r="F26" s="115"/>
      <c r="G26" s="115"/>
      <c r="H26" s="115"/>
      <c r="I26" s="115"/>
      <c r="J26" s="115"/>
      <c r="K26" s="115"/>
      <c r="L26" s="115"/>
      <c r="M26" s="130">
        <f>M8</f>
        <v>227.13750000000002</v>
      </c>
      <c r="N26" s="115"/>
      <c r="O26" s="130">
        <f>O8</f>
        <v>1.18304334</v>
      </c>
      <c r="P26" s="130">
        <f>P8</f>
        <v>24.562576159999999</v>
      </c>
      <c r="Q26" s="115"/>
      <c r="R26" s="115"/>
      <c r="S26" s="115"/>
      <c r="T26" s="130">
        <f>T14+T25</f>
        <v>83.217046082235512</v>
      </c>
      <c r="U26" s="130">
        <f>+U25+U14</f>
        <v>73.3219677382355</v>
      </c>
      <c r="V26" s="130">
        <f>+V25+V14</f>
        <v>9.8950783440000016</v>
      </c>
      <c r="W26" s="115"/>
      <c r="Z26" s="76"/>
      <c r="AA26" s="76"/>
      <c r="AB26" s="76"/>
      <c r="AC26" s="76"/>
      <c r="AD26" s="123"/>
      <c r="AE26" s="123"/>
    </row>
    <row r="27" spans="1:31" x14ac:dyDescent="0.25">
      <c r="R27" s="75"/>
    </row>
    <row r="28" spans="1:31" x14ac:dyDescent="0.25">
      <c r="R28" s="75"/>
    </row>
  </sheetData>
  <sortState xmlns:xlrd2="http://schemas.microsoft.com/office/spreadsheetml/2017/richdata2" ref="Z7:AE20">
    <sortCondition ref="Z7:Z20"/>
  </sortState>
  <mergeCells count="5">
    <mergeCell ref="A1:W1"/>
    <mergeCell ref="K2:P2"/>
    <mergeCell ref="R2:W2"/>
    <mergeCell ref="Z4:AE4"/>
    <mergeCell ref="Z5:AE5"/>
  </mergeCells>
  <dataValidations count="8">
    <dataValidation type="list" allowBlank="1" showInputMessage="1" showErrorMessage="1" sqref="C4" xr:uid="{00000000-0002-0000-2E00-000000000000}">
      <formula1>$AA$7:$AA$11</formula1>
    </dataValidation>
    <dataValidation type="list" allowBlank="1" showInputMessage="1" showErrorMessage="1" sqref="E4 C5:C25 E14 E25" xr:uid="{00000000-0002-0000-2E00-000001000000}">
      <formula1>#REF!</formula1>
    </dataValidation>
    <dataValidation type="list" allowBlank="1" showInputMessage="1" showErrorMessage="1" sqref="D29:E38" xr:uid="{00000000-0002-0000-2E00-000002000000}">
      <formula1>$A$66:$A$71</formula1>
    </dataValidation>
    <dataValidation type="list" allowBlank="1" showInputMessage="1" showErrorMessage="1" sqref="D15:E24 D25 E5:E13 D4:D7 D9:D14" xr:uid="{00000000-0002-0000-2E00-000004000000}">
      <formula1>$Z$7:$Z$21</formula1>
    </dataValidation>
    <dataValidation type="list" allowBlank="1" showInputMessage="1" showErrorMessage="1" sqref="G4:G25" xr:uid="{00000000-0002-0000-2E00-000005000000}">
      <formula1>$AD$7:$AD$20</formula1>
    </dataValidation>
    <dataValidation type="list" allowBlank="1" showInputMessage="1" showErrorMessage="1" sqref="F4:F25" xr:uid="{00000000-0002-0000-2E00-000006000000}">
      <formula1>$AE$7:$AE$20</formula1>
    </dataValidation>
    <dataValidation type="list" allowBlank="1" showInputMessage="1" showErrorMessage="1" sqref="B4:B25" xr:uid="{00000000-0002-0000-2E00-000007000000}">
      <formula1>$AC$7:$AC$10</formula1>
    </dataValidation>
    <dataValidation type="list" allowBlank="1" showInputMessage="1" showErrorMessage="1" sqref="H4:H25" xr:uid="{00000000-0002-0000-2E00-000009000000}">
      <formula1>$AB$7:$AB$18</formula1>
    </dataValidation>
  </dataValidations>
  <pageMargins left="0.25" right="0.25" top="0.75" bottom="0.75" header="0.3" footer="0.3"/>
  <pageSetup paperSize="5" scale="33" orientation="landscape" r:id="rId1"/>
  <headerFooter>
    <oddHeader>&amp;C&amp;"Arial,Bold"&amp;18University of Illinois - Derivative Position Report as of April 30, 2011&amp;R&amp;D
&amp;T</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2">
    <tabColor rgb="FFFF0000"/>
    <pageSetUpPr fitToPage="1"/>
  </sheetPr>
  <dimension ref="A1:AF28"/>
  <sheetViews>
    <sheetView topLeftCell="B1" zoomScale="55" zoomScaleNormal="55" workbookViewId="0">
      <pane ySplit="3" topLeftCell="A4" activePane="bottomLeft" state="frozen"/>
      <selection activeCell="D30" sqref="D30"/>
      <selection pane="bottomLeft" activeCell="D30" sqref="D30"/>
    </sheetView>
  </sheetViews>
  <sheetFormatPr defaultColWidth="9.109375" defaultRowHeight="15" x14ac:dyDescent="0.25"/>
  <cols>
    <col min="1" max="1" width="12.6640625" style="77" hidden="1" customWidth="1"/>
    <col min="2" max="2" width="22" style="77" customWidth="1"/>
    <col min="3" max="3" width="23.6640625" style="77" customWidth="1"/>
    <col min="4" max="5" width="24.33203125" style="77" customWidth="1"/>
    <col min="6" max="7" width="21.44140625" style="77" customWidth="1"/>
    <col min="8" max="9" width="15.109375" style="77" customWidth="1"/>
    <col min="10" max="10" width="24" style="77" customWidth="1"/>
    <col min="11" max="11" width="14.77734375" style="77" hidden="1" customWidth="1"/>
    <col min="12" max="12" width="14.77734375" style="77" customWidth="1"/>
    <col min="13" max="13" width="13.77734375" style="77" customWidth="1"/>
    <col min="14" max="14" width="16.109375" style="77" customWidth="1"/>
    <col min="15" max="15" width="13.77734375" style="77" customWidth="1"/>
    <col min="16" max="16" width="16.6640625" style="77" customWidth="1"/>
    <col min="17" max="17" width="1.44140625" style="77" customWidth="1"/>
    <col min="18" max="21" width="16.6640625" style="77" customWidth="1"/>
    <col min="22" max="23" width="15.77734375" style="77" customWidth="1"/>
    <col min="24" max="24" width="16.44140625" style="77" customWidth="1"/>
    <col min="25" max="25" width="12.44140625" style="77" customWidth="1"/>
    <col min="26" max="26" width="32.109375" style="77" customWidth="1"/>
    <col min="27" max="27" width="31.77734375" style="77" customWidth="1"/>
    <col min="28" max="28" width="18.44140625" style="77" customWidth="1"/>
    <col min="29" max="29" width="22.77734375" style="77" customWidth="1"/>
    <col min="30" max="31" width="13.109375" style="99" customWidth="1"/>
    <col min="32" max="16384" width="9.109375" style="77"/>
  </cols>
  <sheetData>
    <row r="1" spans="1:32" ht="30.75" hidden="1" customHeight="1" x14ac:dyDescent="0.25">
      <c r="A1" s="912" t="s">
        <v>86</v>
      </c>
      <c r="B1" s="912"/>
      <c r="C1" s="912"/>
      <c r="D1" s="912"/>
      <c r="E1" s="912"/>
      <c r="F1" s="912"/>
      <c r="G1" s="912"/>
      <c r="H1" s="912"/>
      <c r="I1" s="912"/>
      <c r="J1" s="912"/>
      <c r="K1" s="912"/>
      <c r="L1" s="912"/>
      <c r="M1" s="912"/>
      <c r="N1" s="912"/>
      <c r="O1" s="912"/>
      <c r="P1" s="912"/>
      <c r="Q1" s="912"/>
      <c r="R1" s="912"/>
      <c r="S1" s="912"/>
      <c r="T1" s="912"/>
      <c r="U1" s="912"/>
      <c r="V1" s="912"/>
      <c r="W1" s="912"/>
      <c r="Y1" s="76"/>
      <c r="Z1" s="76"/>
      <c r="AA1" s="76"/>
      <c r="AB1" s="76"/>
      <c r="AC1" s="76"/>
      <c r="AD1" s="76"/>
      <c r="AE1" s="76"/>
      <c r="AF1" s="76"/>
    </row>
    <row r="2" spans="1:32" ht="30.75" customHeight="1" x14ac:dyDescent="0.25">
      <c r="A2" s="74"/>
      <c r="B2" s="74"/>
      <c r="C2" s="74"/>
      <c r="D2" s="74"/>
      <c r="E2" s="74"/>
      <c r="F2" s="74"/>
      <c r="G2" s="74"/>
      <c r="H2" s="74"/>
      <c r="I2" s="74"/>
      <c r="J2" s="74"/>
      <c r="K2" s="913" t="s">
        <v>145</v>
      </c>
      <c r="L2" s="913"/>
      <c r="M2" s="913"/>
      <c r="N2" s="913"/>
      <c r="O2" s="913"/>
      <c r="P2" s="913"/>
      <c r="Q2" s="74"/>
      <c r="R2" s="914" t="s">
        <v>146</v>
      </c>
      <c r="S2" s="914"/>
      <c r="T2" s="914"/>
      <c r="U2" s="914"/>
      <c r="V2" s="914"/>
      <c r="W2" s="914"/>
      <c r="X2" s="75"/>
      <c r="Y2" s="76"/>
      <c r="Z2" s="76"/>
      <c r="AA2" s="76"/>
      <c r="AB2" s="76"/>
      <c r="AC2" s="76"/>
      <c r="AD2" s="76"/>
      <c r="AE2" s="76"/>
      <c r="AF2" s="76"/>
    </row>
    <row r="3" spans="1:32" s="75" customFormat="1" ht="66" customHeight="1" thickBot="1" x14ac:dyDescent="0.3">
      <c r="A3" s="78" t="s">
        <v>87</v>
      </c>
      <c r="B3" s="78" t="s">
        <v>89</v>
      </c>
      <c r="C3" s="78" t="s">
        <v>90</v>
      </c>
      <c r="D3" s="74" t="s">
        <v>0</v>
      </c>
      <c r="E3" s="74" t="s">
        <v>124</v>
      </c>
      <c r="F3" s="78" t="s">
        <v>143</v>
      </c>
      <c r="G3" s="78" t="s">
        <v>144</v>
      </c>
      <c r="H3" s="78" t="s">
        <v>13</v>
      </c>
      <c r="I3" s="78" t="s">
        <v>88</v>
      </c>
      <c r="J3" s="78" t="s">
        <v>12</v>
      </c>
      <c r="K3" s="79" t="s">
        <v>147</v>
      </c>
      <c r="L3" s="126" t="s">
        <v>158</v>
      </c>
      <c r="M3" s="79" t="s">
        <v>148</v>
      </c>
      <c r="N3" s="79" t="s">
        <v>153</v>
      </c>
      <c r="O3" s="79" t="s">
        <v>104</v>
      </c>
      <c r="P3" s="79" t="s">
        <v>154</v>
      </c>
      <c r="Q3" s="80" t="s">
        <v>107</v>
      </c>
      <c r="R3" s="78" t="s">
        <v>150</v>
      </c>
      <c r="S3" s="78" t="s">
        <v>151</v>
      </c>
      <c r="T3" s="78" t="s">
        <v>157</v>
      </c>
      <c r="U3" s="78" t="s">
        <v>149</v>
      </c>
      <c r="V3" s="78" t="s">
        <v>154</v>
      </c>
      <c r="W3" s="78" t="s">
        <v>152</v>
      </c>
      <c r="X3" s="77"/>
      <c r="Y3" s="76"/>
      <c r="Z3" s="76"/>
      <c r="AA3" s="76"/>
      <c r="AB3" s="76"/>
      <c r="AC3" s="76"/>
      <c r="AD3" s="76"/>
      <c r="AE3" s="76"/>
      <c r="AF3" s="76"/>
    </row>
    <row r="4" spans="1:32" ht="36.75" customHeight="1" x14ac:dyDescent="0.25">
      <c r="A4" s="81">
        <v>40633</v>
      </c>
      <c r="B4" s="82" t="s">
        <v>84</v>
      </c>
      <c r="C4" s="83" t="s">
        <v>3</v>
      </c>
      <c r="D4" s="83" t="s">
        <v>1</v>
      </c>
      <c r="E4" s="83" t="s">
        <v>1</v>
      </c>
      <c r="F4" s="84" t="s">
        <v>40</v>
      </c>
      <c r="G4" s="84" t="s">
        <v>42</v>
      </c>
      <c r="H4" s="83" t="s">
        <v>14</v>
      </c>
      <c r="I4" s="85">
        <v>44423</v>
      </c>
      <c r="J4" s="84" t="s">
        <v>23</v>
      </c>
      <c r="K4" s="86">
        <v>143.66499999999999</v>
      </c>
      <c r="L4" s="86">
        <v>143.66499999999999</v>
      </c>
      <c r="M4" s="86">
        <v>132.12</v>
      </c>
      <c r="N4" s="86">
        <v>11.076682</v>
      </c>
      <c r="O4" s="86">
        <v>0.59437899999999999</v>
      </c>
      <c r="P4" s="87">
        <f>+N4+O4</f>
        <v>11.671061</v>
      </c>
      <c r="Q4" s="87"/>
      <c r="R4" s="87"/>
      <c r="S4" s="87"/>
      <c r="T4" s="87"/>
      <c r="U4" s="87"/>
      <c r="V4" s="88"/>
      <c r="W4" s="88"/>
      <c r="Z4" s="894" t="s">
        <v>83</v>
      </c>
      <c r="AA4" s="895"/>
      <c r="AB4" s="895"/>
      <c r="AC4" s="895"/>
      <c r="AD4" s="895"/>
      <c r="AE4" s="896"/>
    </row>
    <row r="5" spans="1:32" ht="36.75" customHeight="1" x14ac:dyDescent="0.25">
      <c r="A5" s="89">
        <v>40633</v>
      </c>
      <c r="B5" s="90" t="s">
        <v>84</v>
      </c>
      <c r="C5" s="91" t="s">
        <v>3</v>
      </c>
      <c r="D5" s="91" t="s">
        <v>1</v>
      </c>
      <c r="E5" s="91" t="s">
        <v>1</v>
      </c>
      <c r="F5" s="92" t="s">
        <v>40</v>
      </c>
      <c r="G5" s="91" t="s">
        <v>42</v>
      </c>
      <c r="H5" s="91" t="s">
        <v>14</v>
      </c>
      <c r="I5" s="93">
        <v>44576</v>
      </c>
      <c r="J5" s="92" t="s">
        <v>24</v>
      </c>
      <c r="K5" s="94">
        <v>26.85</v>
      </c>
      <c r="L5" s="94">
        <v>26.85</v>
      </c>
      <c r="M5" s="94">
        <v>27.4</v>
      </c>
      <c r="N5" s="94">
        <v>3.5924589999999998</v>
      </c>
      <c r="O5" s="94">
        <v>8.5995000000000002E-2</v>
      </c>
      <c r="P5" s="95">
        <f>+N5+O5</f>
        <v>3.6784539999999999</v>
      </c>
      <c r="Q5" s="95"/>
      <c r="R5" s="95"/>
      <c r="S5" s="95"/>
      <c r="T5" s="95"/>
      <c r="U5" s="95"/>
      <c r="V5" s="96"/>
      <c r="W5" s="96"/>
      <c r="Z5" s="915"/>
      <c r="AA5" s="916"/>
      <c r="AB5" s="916"/>
      <c r="AC5" s="916"/>
      <c r="AD5" s="916"/>
      <c r="AE5" s="917"/>
    </row>
    <row r="6" spans="1:32" ht="36.75" customHeight="1" thickBot="1" x14ac:dyDescent="0.3">
      <c r="A6" s="81">
        <v>40633</v>
      </c>
      <c r="B6" s="82" t="s">
        <v>84</v>
      </c>
      <c r="C6" s="83" t="s">
        <v>3</v>
      </c>
      <c r="D6" s="83" t="s">
        <v>194</v>
      </c>
      <c r="E6" s="83" t="s">
        <v>194</v>
      </c>
      <c r="F6" s="84" t="s">
        <v>31</v>
      </c>
      <c r="G6" s="84" t="s">
        <v>36</v>
      </c>
      <c r="H6" s="83" t="s">
        <v>14</v>
      </c>
      <c r="I6" s="85">
        <v>44576</v>
      </c>
      <c r="J6" s="84" t="s">
        <v>24</v>
      </c>
      <c r="K6" s="86">
        <v>26.85</v>
      </c>
      <c r="L6" s="86">
        <v>26.85</v>
      </c>
      <c r="M6" s="86">
        <v>26.85</v>
      </c>
      <c r="N6" s="86">
        <v>3.5250940000000002</v>
      </c>
      <c r="O6" s="86">
        <v>8.4331000000000003E-2</v>
      </c>
      <c r="P6" s="87">
        <f t="shared" ref="P6:P7" si="0">+N6+O6</f>
        <v>3.6094250000000003</v>
      </c>
      <c r="Q6" s="87"/>
      <c r="R6" s="87"/>
      <c r="S6" s="87"/>
      <c r="T6" s="87"/>
      <c r="U6" s="87"/>
      <c r="V6" s="88"/>
      <c r="W6" s="88"/>
      <c r="Z6" s="101" t="s">
        <v>5</v>
      </c>
      <c r="AA6" s="102" t="s">
        <v>6</v>
      </c>
      <c r="AB6" s="102" t="s">
        <v>13</v>
      </c>
      <c r="AC6" s="102" t="s">
        <v>82</v>
      </c>
      <c r="AD6" s="102" t="s">
        <v>115</v>
      </c>
      <c r="AE6" s="103" t="s">
        <v>116</v>
      </c>
    </row>
    <row r="7" spans="1:32" ht="36.75" customHeight="1" x14ac:dyDescent="0.25">
      <c r="A7" s="89">
        <v>40633</v>
      </c>
      <c r="B7" s="90" t="s">
        <v>84</v>
      </c>
      <c r="C7" s="91" t="s">
        <v>3</v>
      </c>
      <c r="D7" s="91" t="s">
        <v>11</v>
      </c>
      <c r="E7" s="91" t="s">
        <v>125</v>
      </c>
      <c r="F7" s="92" t="s">
        <v>39</v>
      </c>
      <c r="G7" s="91" t="s">
        <v>38</v>
      </c>
      <c r="H7" s="91" t="s">
        <v>14</v>
      </c>
      <c r="I7" s="93">
        <v>46296</v>
      </c>
      <c r="J7" s="92" t="s">
        <v>25</v>
      </c>
      <c r="K7" s="94">
        <v>40.875</v>
      </c>
      <c r="L7" s="132">
        <v>40.875</v>
      </c>
      <c r="M7" s="132">
        <v>40.86</v>
      </c>
      <c r="N7" s="132">
        <v>3.9326530000000002</v>
      </c>
      <c r="O7" s="132">
        <v>0.11452900000000001</v>
      </c>
      <c r="P7" s="129">
        <f t="shared" si="0"/>
        <v>4.0471820000000003</v>
      </c>
      <c r="Q7" s="95"/>
      <c r="R7" s="95"/>
      <c r="S7" s="95"/>
      <c r="T7" s="95"/>
      <c r="U7" s="95"/>
      <c r="V7" s="96"/>
      <c r="W7" s="96"/>
      <c r="Z7" s="104" t="s">
        <v>91</v>
      </c>
      <c r="AA7" s="105" t="s">
        <v>26</v>
      </c>
      <c r="AB7" s="105" t="s">
        <v>15</v>
      </c>
      <c r="AC7" s="105" t="s">
        <v>8</v>
      </c>
      <c r="AD7" s="106" t="s">
        <v>36</v>
      </c>
      <c r="AE7" s="107" t="s">
        <v>29</v>
      </c>
    </row>
    <row r="8" spans="1:32" ht="36.75" customHeight="1" x14ac:dyDescent="0.25">
      <c r="A8" s="81">
        <v>40633</v>
      </c>
      <c r="B8" s="82"/>
      <c r="C8" s="83"/>
      <c r="D8" s="83"/>
      <c r="E8" s="83"/>
      <c r="F8" s="84"/>
      <c r="G8" s="84"/>
      <c r="H8" s="84"/>
      <c r="I8" s="85"/>
      <c r="J8" s="83"/>
      <c r="K8" s="94"/>
      <c r="L8" s="133">
        <f>SUM(L4:L7)</f>
        <v>238.23999999999998</v>
      </c>
      <c r="M8" s="133">
        <f>SUM(M4:M7)</f>
        <v>227.23000000000002</v>
      </c>
      <c r="N8" s="133">
        <f>SUM(N4:N7)</f>
        <v>22.126888000000001</v>
      </c>
      <c r="O8" s="133">
        <f>SUM(O4:O7)</f>
        <v>0.87923400000000007</v>
      </c>
      <c r="P8" s="133">
        <f>SUM(P4:P7)</f>
        <v>23.006122000000001</v>
      </c>
      <c r="Q8" s="87"/>
      <c r="R8" s="87"/>
      <c r="S8" s="87"/>
      <c r="T8" s="87"/>
      <c r="U8" s="87"/>
      <c r="V8" s="88"/>
      <c r="W8" s="88"/>
      <c r="Z8" s="117" t="s">
        <v>127</v>
      </c>
      <c r="AA8" s="105"/>
      <c r="AB8" s="105"/>
      <c r="AC8" s="105"/>
      <c r="AD8" s="106" t="s">
        <v>119</v>
      </c>
      <c r="AE8" s="107" t="s">
        <v>123</v>
      </c>
    </row>
    <row r="9" spans="1:32" ht="36.75" customHeight="1" x14ac:dyDescent="0.25">
      <c r="A9" s="89">
        <v>40633</v>
      </c>
      <c r="B9" s="90" t="s">
        <v>84</v>
      </c>
      <c r="C9" s="91" t="s">
        <v>7</v>
      </c>
      <c r="D9" s="91" t="s">
        <v>4</v>
      </c>
      <c r="E9" s="91" t="s">
        <v>126</v>
      </c>
      <c r="F9" s="92" t="s">
        <v>30</v>
      </c>
      <c r="G9" s="91" t="s">
        <v>142</v>
      </c>
      <c r="H9" s="91" t="s">
        <v>22</v>
      </c>
      <c r="I9" s="93">
        <v>40724</v>
      </c>
      <c r="J9" s="91" t="s">
        <v>129</v>
      </c>
      <c r="K9" s="94"/>
      <c r="L9" s="94"/>
      <c r="M9" s="96"/>
      <c r="N9" s="96"/>
      <c r="O9" s="96"/>
      <c r="P9" s="95"/>
      <c r="Q9" s="95"/>
      <c r="R9" s="95">
        <v>39.11</v>
      </c>
      <c r="S9" s="95">
        <v>-31.593</v>
      </c>
      <c r="T9" s="95">
        <f>+R9+S9</f>
        <v>7.5169999999999995</v>
      </c>
      <c r="U9" s="109"/>
      <c r="V9" s="110"/>
      <c r="W9" s="109"/>
      <c r="Z9" s="104" t="s">
        <v>27</v>
      </c>
      <c r="AA9" s="105" t="s">
        <v>8</v>
      </c>
      <c r="AB9" s="105" t="s">
        <v>18</v>
      </c>
      <c r="AC9" s="105" t="s">
        <v>84</v>
      </c>
      <c r="AD9" s="106" t="s">
        <v>35</v>
      </c>
      <c r="AE9" s="107" t="s">
        <v>28</v>
      </c>
    </row>
    <row r="10" spans="1:32" ht="36.75" customHeight="1" x14ac:dyDescent="0.25">
      <c r="A10" s="81">
        <v>40633</v>
      </c>
      <c r="B10" s="82" t="s">
        <v>84</v>
      </c>
      <c r="C10" s="83" t="s">
        <v>7</v>
      </c>
      <c r="D10" s="83" t="s">
        <v>4</v>
      </c>
      <c r="E10" s="111" t="s">
        <v>126</v>
      </c>
      <c r="F10" s="84" t="s">
        <v>30</v>
      </c>
      <c r="G10" s="84" t="s">
        <v>142</v>
      </c>
      <c r="H10" s="83" t="s">
        <v>22</v>
      </c>
      <c r="I10" s="85">
        <v>41090</v>
      </c>
      <c r="J10" s="83" t="s">
        <v>130</v>
      </c>
      <c r="K10" s="86"/>
      <c r="L10" s="86"/>
      <c r="M10" s="86"/>
      <c r="N10" s="86"/>
      <c r="O10" s="86"/>
      <c r="P10" s="87"/>
      <c r="Q10" s="87"/>
      <c r="R10" s="87">
        <v>34.28</v>
      </c>
      <c r="S10" s="87">
        <v>0</v>
      </c>
      <c r="T10" s="87">
        <f>+R10+S10</f>
        <v>34.28</v>
      </c>
      <c r="U10" s="109"/>
      <c r="V10" s="110"/>
      <c r="W10" s="109"/>
      <c r="Z10" s="117" t="s">
        <v>125</v>
      </c>
      <c r="AA10" s="105"/>
      <c r="AB10" s="105" t="s">
        <v>17</v>
      </c>
      <c r="AC10" s="105"/>
      <c r="AD10" s="106" t="s">
        <v>46</v>
      </c>
      <c r="AE10" s="107" t="s">
        <v>34</v>
      </c>
    </row>
    <row r="11" spans="1:32" ht="36.75" customHeight="1" x14ac:dyDescent="0.25">
      <c r="A11" s="89">
        <v>40633</v>
      </c>
      <c r="B11" s="90" t="s">
        <v>8</v>
      </c>
      <c r="C11" s="91" t="s">
        <v>7</v>
      </c>
      <c r="D11" s="91" t="s">
        <v>4</v>
      </c>
      <c r="E11" s="91" t="s">
        <v>126</v>
      </c>
      <c r="F11" s="92" t="s">
        <v>30</v>
      </c>
      <c r="G11" s="91" t="s">
        <v>142</v>
      </c>
      <c r="H11" s="91" t="s">
        <v>22</v>
      </c>
      <c r="I11" s="93">
        <v>41455</v>
      </c>
      <c r="J11" s="91" t="s">
        <v>131</v>
      </c>
      <c r="K11" s="94"/>
      <c r="L11" s="94"/>
      <c r="M11" s="96"/>
      <c r="N11" s="96"/>
      <c r="O11" s="96"/>
      <c r="P11" s="95"/>
      <c r="Q11" s="95"/>
      <c r="R11" s="95">
        <v>25.2</v>
      </c>
      <c r="S11" s="95">
        <v>0</v>
      </c>
      <c r="T11" s="95">
        <f>+R11+S11</f>
        <v>25.2</v>
      </c>
      <c r="U11" s="109"/>
      <c r="V11" s="110"/>
      <c r="W11" s="109"/>
      <c r="Z11" s="117" t="s">
        <v>128</v>
      </c>
      <c r="AA11" s="105"/>
      <c r="AB11" s="105"/>
      <c r="AC11" s="105"/>
      <c r="AD11" s="106" t="s">
        <v>142</v>
      </c>
      <c r="AE11" s="107" t="s">
        <v>142</v>
      </c>
    </row>
    <row r="12" spans="1:32" ht="36.75" customHeight="1" x14ac:dyDescent="0.25">
      <c r="A12" s="81">
        <v>40633</v>
      </c>
      <c r="B12" s="82" t="s">
        <v>8</v>
      </c>
      <c r="C12" s="83" t="s">
        <v>7</v>
      </c>
      <c r="D12" s="83" t="s">
        <v>4</v>
      </c>
      <c r="E12" s="111" t="s">
        <v>126</v>
      </c>
      <c r="F12" s="84" t="s">
        <v>30</v>
      </c>
      <c r="G12" s="84" t="s">
        <v>142</v>
      </c>
      <c r="H12" s="83" t="s">
        <v>22</v>
      </c>
      <c r="I12" s="85">
        <v>41820</v>
      </c>
      <c r="J12" s="83" t="s">
        <v>132</v>
      </c>
      <c r="K12" s="86"/>
      <c r="L12" s="86"/>
      <c r="M12" s="86"/>
      <c r="N12" s="86"/>
      <c r="O12" s="86"/>
      <c r="P12" s="87"/>
      <c r="Q12" s="87"/>
      <c r="R12" s="87">
        <v>3.33</v>
      </c>
      <c r="S12" s="87">
        <v>0</v>
      </c>
      <c r="T12" s="87">
        <f>+R12+S12</f>
        <v>3.33</v>
      </c>
      <c r="U12" s="109"/>
      <c r="V12" s="110"/>
      <c r="W12" s="109"/>
      <c r="Z12" s="104" t="s">
        <v>92</v>
      </c>
      <c r="AA12" s="105" t="s">
        <v>9</v>
      </c>
      <c r="AB12" s="105" t="s">
        <v>22</v>
      </c>
      <c r="AC12" s="105" t="s">
        <v>105</v>
      </c>
      <c r="AD12" s="106" t="s">
        <v>37</v>
      </c>
      <c r="AE12" s="107" t="s">
        <v>30</v>
      </c>
    </row>
    <row r="13" spans="1:32" ht="36.75" customHeight="1" x14ac:dyDescent="0.25">
      <c r="A13" s="89">
        <v>40633</v>
      </c>
      <c r="B13" s="90" t="s">
        <v>8</v>
      </c>
      <c r="C13" s="91" t="s">
        <v>7</v>
      </c>
      <c r="D13" s="91"/>
      <c r="E13" s="91"/>
      <c r="F13" s="92"/>
      <c r="G13" s="91"/>
      <c r="H13" s="91" t="s">
        <v>22</v>
      </c>
      <c r="I13" s="93">
        <v>42185</v>
      </c>
      <c r="J13" s="91" t="s">
        <v>133</v>
      </c>
      <c r="K13" s="94"/>
      <c r="L13" s="94"/>
      <c r="M13" s="94"/>
      <c r="N13" s="94"/>
      <c r="O13" s="94"/>
      <c r="P13" s="95"/>
      <c r="Q13" s="95"/>
      <c r="R13" s="129">
        <v>0</v>
      </c>
      <c r="S13" s="129">
        <v>0</v>
      </c>
      <c r="T13" s="129">
        <v>0</v>
      </c>
      <c r="U13" s="109"/>
      <c r="V13" s="110"/>
      <c r="W13" s="109"/>
      <c r="Z13" s="117" t="s">
        <v>194</v>
      </c>
      <c r="AA13" s="105"/>
      <c r="AB13" s="105" t="s">
        <v>17</v>
      </c>
      <c r="AC13" s="105"/>
      <c r="AD13" s="106" t="s">
        <v>117</v>
      </c>
      <c r="AE13" s="107" t="s">
        <v>121</v>
      </c>
    </row>
    <row r="14" spans="1:32" s="97" customFormat="1" ht="36.75" customHeight="1" x14ac:dyDescent="0.25">
      <c r="A14" s="113">
        <v>40633</v>
      </c>
      <c r="B14" s="82"/>
      <c r="C14" s="111"/>
      <c r="D14" s="111" t="s">
        <v>155</v>
      </c>
      <c r="E14" s="111"/>
      <c r="F14" s="84"/>
      <c r="G14" s="84"/>
      <c r="H14" s="111"/>
      <c r="I14" s="114"/>
      <c r="J14" s="111"/>
      <c r="K14" s="115"/>
      <c r="L14" s="115"/>
      <c r="M14" s="115"/>
      <c r="N14" s="115"/>
      <c r="O14" s="115"/>
      <c r="P14" s="116"/>
      <c r="Q14" s="116"/>
      <c r="R14" s="130">
        <f>SUM(R9:R13)</f>
        <v>101.92</v>
      </c>
      <c r="S14" s="131">
        <f t="shared" ref="S14:T14" si="1">SUM(S9:S13)</f>
        <v>-31.593</v>
      </c>
      <c r="T14" s="131">
        <f t="shared" si="1"/>
        <v>70.326999999999998</v>
      </c>
      <c r="U14" s="130">
        <f>+T14-V14</f>
        <v>45.343000000000004</v>
      </c>
      <c r="V14" s="131">
        <f>20.147+4.837</f>
        <v>24.983999999999998</v>
      </c>
      <c r="W14" s="131">
        <v>35</v>
      </c>
      <c r="Z14" s="104" t="s">
        <v>2</v>
      </c>
      <c r="AA14" s="112" t="s">
        <v>10</v>
      </c>
      <c r="AB14" s="105" t="s">
        <v>19</v>
      </c>
      <c r="AC14" s="105"/>
      <c r="AD14" s="106" t="s">
        <v>42</v>
      </c>
      <c r="AE14" s="107" t="s">
        <v>40</v>
      </c>
    </row>
    <row r="15" spans="1:32" ht="36.75" customHeight="1" x14ac:dyDescent="0.25">
      <c r="A15" s="89">
        <v>40633</v>
      </c>
      <c r="B15" s="90" t="s">
        <v>84</v>
      </c>
      <c r="C15" s="91" t="s">
        <v>7</v>
      </c>
      <c r="D15" s="91" t="s">
        <v>27</v>
      </c>
      <c r="E15" s="91" t="s">
        <v>127</v>
      </c>
      <c r="F15" s="92" t="s">
        <v>33</v>
      </c>
      <c r="G15" s="91" t="s">
        <v>45</v>
      </c>
      <c r="H15" s="91" t="s">
        <v>22</v>
      </c>
      <c r="I15" s="93">
        <v>40724</v>
      </c>
      <c r="J15" s="91" t="s">
        <v>134</v>
      </c>
      <c r="K15" s="94"/>
      <c r="L15" s="94"/>
      <c r="M15" s="96"/>
      <c r="N15" s="96"/>
      <c r="O15" s="96"/>
      <c r="P15" s="95"/>
      <c r="Q15" s="95"/>
      <c r="R15" s="95">
        <v>7.4437889999999998</v>
      </c>
      <c r="S15" s="95">
        <v>-5.0243640000000003</v>
      </c>
      <c r="T15" s="95">
        <f>+R15+S15</f>
        <v>2.4194249999999995</v>
      </c>
      <c r="U15" s="109"/>
      <c r="V15" s="110"/>
      <c r="W15" s="109"/>
      <c r="Z15" s="104" t="s">
        <v>11</v>
      </c>
      <c r="AA15" s="105" t="s">
        <v>3</v>
      </c>
      <c r="AB15" s="105" t="s">
        <v>16</v>
      </c>
      <c r="AC15" s="105" t="s">
        <v>106</v>
      </c>
      <c r="AD15" s="106" t="s">
        <v>38</v>
      </c>
      <c r="AE15" s="107" t="s">
        <v>31</v>
      </c>
    </row>
    <row r="16" spans="1:32" s="97" customFormat="1" ht="36.75" customHeight="1" x14ac:dyDescent="0.25">
      <c r="A16" s="113">
        <v>40633</v>
      </c>
      <c r="B16" s="82" t="s">
        <v>84</v>
      </c>
      <c r="C16" s="83" t="s">
        <v>7</v>
      </c>
      <c r="D16" s="83" t="s">
        <v>92</v>
      </c>
      <c r="E16" s="111" t="s">
        <v>128</v>
      </c>
      <c r="F16" s="84" t="s">
        <v>33</v>
      </c>
      <c r="G16" s="84" t="s">
        <v>44</v>
      </c>
      <c r="H16" s="83" t="s">
        <v>22</v>
      </c>
      <c r="I16" s="85">
        <v>40724</v>
      </c>
      <c r="J16" s="83" t="s">
        <v>134</v>
      </c>
      <c r="K16" s="86"/>
      <c r="L16" s="86"/>
      <c r="M16" s="86"/>
      <c r="N16" s="86"/>
      <c r="O16" s="86"/>
      <c r="P16" s="87"/>
      <c r="Q16" s="87"/>
      <c r="R16" s="87">
        <v>0.10809299999999999</v>
      </c>
      <c r="S16" s="87">
        <v>-3.509E-3</v>
      </c>
      <c r="T16" s="87">
        <f>+R16+S16</f>
        <v>0.104584</v>
      </c>
      <c r="U16" s="109"/>
      <c r="V16" s="110"/>
      <c r="W16" s="109"/>
      <c r="Z16" s="104" t="s">
        <v>1</v>
      </c>
      <c r="AA16" s="105" t="s">
        <v>7</v>
      </c>
      <c r="AB16" s="105" t="s">
        <v>20</v>
      </c>
      <c r="AC16" s="105"/>
      <c r="AD16" s="106" t="s">
        <v>41</v>
      </c>
      <c r="AE16" s="107" t="s">
        <v>39</v>
      </c>
    </row>
    <row r="17" spans="1:31" ht="36.75" customHeight="1" x14ac:dyDescent="0.25">
      <c r="A17" s="89">
        <v>40633</v>
      </c>
      <c r="B17" s="90" t="s">
        <v>8</v>
      </c>
      <c r="C17" s="91" t="s">
        <v>7</v>
      </c>
      <c r="D17" s="91" t="s">
        <v>27</v>
      </c>
      <c r="E17" s="91" t="s">
        <v>127</v>
      </c>
      <c r="F17" s="92" t="s">
        <v>33</v>
      </c>
      <c r="G17" s="91" t="s">
        <v>45</v>
      </c>
      <c r="H17" s="91" t="s">
        <v>22</v>
      </c>
      <c r="I17" s="93">
        <v>41090</v>
      </c>
      <c r="J17" s="91" t="s">
        <v>135</v>
      </c>
      <c r="K17" s="94"/>
      <c r="L17" s="94"/>
      <c r="M17" s="96"/>
      <c r="N17" s="96"/>
      <c r="O17" s="96"/>
      <c r="P17" s="95"/>
      <c r="Q17" s="95"/>
      <c r="R17" s="95">
        <v>6.571148</v>
      </c>
      <c r="S17" s="95"/>
      <c r="T17" s="95">
        <f t="shared" ref="T17:T24" si="2">+R17+S17</f>
        <v>6.571148</v>
      </c>
      <c r="U17" s="109"/>
      <c r="V17" s="110"/>
      <c r="W17" s="109"/>
      <c r="Z17" s="104" t="s">
        <v>4</v>
      </c>
      <c r="AA17" s="105"/>
      <c r="AB17" s="105" t="s">
        <v>21</v>
      </c>
      <c r="AC17" s="105"/>
      <c r="AD17" s="106" t="s">
        <v>43</v>
      </c>
      <c r="AE17" s="107" t="s">
        <v>120</v>
      </c>
    </row>
    <row r="18" spans="1:31" s="97" customFormat="1" ht="36.75" customHeight="1" x14ac:dyDescent="0.25">
      <c r="A18" s="113">
        <v>40633</v>
      </c>
      <c r="B18" s="82" t="s">
        <v>8</v>
      </c>
      <c r="C18" s="83" t="s">
        <v>7</v>
      </c>
      <c r="D18" s="83" t="s">
        <v>92</v>
      </c>
      <c r="E18" s="111" t="s">
        <v>128</v>
      </c>
      <c r="F18" s="84" t="s">
        <v>33</v>
      </c>
      <c r="G18" s="84" t="s">
        <v>44</v>
      </c>
      <c r="H18" s="83" t="s">
        <v>22</v>
      </c>
      <c r="I18" s="85">
        <v>41090</v>
      </c>
      <c r="J18" s="83" t="s">
        <v>136</v>
      </c>
      <c r="K18" s="86"/>
      <c r="L18" s="86"/>
      <c r="M18" s="86"/>
      <c r="N18" s="86"/>
      <c r="O18" s="86"/>
      <c r="P18" s="87"/>
      <c r="Q18" s="87"/>
      <c r="R18" s="87">
        <v>0.25278499999999998</v>
      </c>
      <c r="S18" s="87"/>
      <c r="T18" s="87">
        <f t="shared" si="2"/>
        <v>0.25278499999999998</v>
      </c>
      <c r="U18" s="109"/>
      <c r="V18" s="110"/>
      <c r="W18" s="109"/>
      <c r="Z18" s="117" t="s">
        <v>126</v>
      </c>
      <c r="AA18" s="105"/>
      <c r="AB18" s="105"/>
      <c r="AC18" s="105"/>
      <c r="AD18" s="106" t="s">
        <v>118</v>
      </c>
      <c r="AE18" s="107" t="s">
        <v>122</v>
      </c>
    </row>
    <row r="19" spans="1:31" ht="36.75" customHeight="1" x14ac:dyDescent="0.25">
      <c r="A19" s="89">
        <v>40633</v>
      </c>
      <c r="B19" s="90" t="s">
        <v>8</v>
      </c>
      <c r="C19" s="91" t="s">
        <v>7</v>
      </c>
      <c r="D19" s="91" t="s">
        <v>27</v>
      </c>
      <c r="E19" s="91" t="s">
        <v>127</v>
      </c>
      <c r="F19" s="92" t="s">
        <v>33</v>
      </c>
      <c r="G19" s="91" t="s">
        <v>45</v>
      </c>
      <c r="H19" s="91" t="s">
        <v>22</v>
      </c>
      <c r="I19" s="93">
        <v>41455</v>
      </c>
      <c r="J19" s="91" t="s">
        <v>137</v>
      </c>
      <c r="K19" s="94"/>
      <c r="L19" s="94"/>
      <c r="M19" s="96"/>
      <c r="N19" s="96"/>
      <c r="O19" s="96"/>
      <c r="P19" s="95"/>
      <c r="Q19" s="95"/>
      <c r="R19" s="95">
        <v>5.2490870000000003</v>
      </c>
      <c r="S19" s="95"/>
      <c r="T19" s="95">
        <f t="shared" si="2"/>
        <v>5.2490870000000003</v>
      </c>
      <c r="U19" s="109"/>
      <c r="V19" s="110"/>
      <c r="W19" s="109"/>
      <c r="Z19" s="117" t="s">
        <v>156</v>
      </c>
      <c r="AA19" s="105"/>
      <c r="AB19" s="105" t="s">
        <v>14</v>
      </c>
      <c r="AC19" s="105"/>
      <c r="AD19" s="106" t="s">
        <v>45</v>
      </c>
      <c r="AE19" s="107" t="s">
        <v>33</v>
      </c>
    </row>
    <row r="20" spans="1:31" s="97" customFormat="1" ht="36.75" customHeight="1" thickBot="1" x14ac:dyDescent="0.3">
      <c r="A20" s="113">
        <v>40633</v>
      </c>
      <c r="B20" s="82" t="s">
        <v>84</v>
      </c>
      <c r="C20" s="83" t="s">
        <v>7</v>
      </c>
      <c r="D20" s="83" t="s">
        <v>92</v>
      </c>
      <c r="E20" s="111" t="s">
        <v>128</v>
      </c>
      <c r="F20" s="84" t="s">
        <v>33</v>
      </c>
      <c r="G20" s="84" t="s">
        <v>44</v>
      </c>
      <c r="H20" s="83" t="s">
        <v>22</v>
      </c>
      <c r="I20" s="85">
        <v>41455</v>
      </c>
      <c r="J20" s="83" t="s">
        <v>137</v>
      </c>
      <c r="K20" s="86"/>
      <c r="L20" s="86"/>
      <c r="M20" s="86"/>
      <c r="N20" s="86"/>
      <c r="O20" s="86"/>
      <c r="P20" s="87"/>
      <c r="Q20" s="87"/>
      <c r="R20" s="87">
        <v>2.6345E-2</v>
      </c>
      <c r="S20" s="87"/>
      <c r="T20" s="87">
        <f t="shared" si="2"/>
        <v>2.6345E-2</v>
      </c>
      <c r="U20" s="109"/>
      <c r="V20" s="110"/>
      <c r="W20" s="109"/>
      <c r="Z20" s="118" t="s">
        <v>155</v>
      </c>
      <c r="AA20" s="119"/>
      <c r="AB20" s="119" t="s">
        <v>21</v>
      </c>
      <c r="AC20" s="119"/>
      <c r="AD20" s="120" t="s">
        <v>44</v>
      </c>
      <c r="AE20" s="121" t="s">
        <v>32</v>
      </c>
    </row>
    <row r="21" spans="1:31" ht="36.75" customHeight="1" x14ac:dyDescent="0.25">
      <c r="A21" s="89">
        <v>40633</v>
      </c>
      <c r="B21" s="90" t="s">
        <v>84</v>
      </c>
      <c r="C21" s="91" t="s">
        <v>7</v>
      </c>
      <c r="D21" s="91" t="s">
        <v>27</v>
      </c>
      <c r="E21" s="91" t="s">
        <v>127</v>
      </c>
      <c r="F21" s="92" t="s">
        <v>33</v>
      </c>
      <c r="G21" s="91" t="s">
        <v>45</v>
      </c>
      <c r="H21" s="91" t="s">
        <v>22</v>
      </c>
      <c r="I21" s="93">
        <v>41820</v>
      </c>
      <c r="J21" s="91" t="s">
        <v>138</v>
      </c>
      <c r="K21" s="94"/>
      <c r="L21" s="94"/>
      <c r="M21" s="96"/>
      <c r="N21" s="96"/>
      <c r="O21" s="96"/>
      <c r="P21" s="95"/>
      <c r="Q21" s="95"/>
      <c r="R21" s="95">
        <v>0.92112799999999995</v>
      </c>
      <c r="S21" s="95"/>
      <c r="T21" s="95">
        <f t="shared" si="2"/>
        <v>0.92112799999999995</v>
      </c>
      <c r="U21" s="109"/>
      <c r="V21" s="110"/>
      <c r="W21" s="109"/>
    </row>
    <row r="22" spans="1:31" s="97" customFormat="1" ht="36.75" customHeight="1" x14ac:dyDescent="0.25">
      <c r="A22" s="113">
        <v>40633</v>
      </c>
      <c r="B22" s="82" t="s">
        <v>8</v>
      </c>
      <c r="C22" s="83" t="s">
        <v>7</v>
      </c>
      <c r="D22" s="83" t="s">
        <v>92</v>
      </c>
      <c r="E22" s="111" t="s">
        <v>128</v>
      </c>
      <c r="F22" s="84" t="s">
        <v>33</v>
      </c>
      <c r="G22" s="84" t="s">
        <v>44</v>
      </c>
      <c r="H22" s="83" t="s">
        <v>22</v>
      </c>
      <c r="I22" s="85">
        <v>41820</v>
      </c>
      <c r="J22" s="83" t="s">
        <v>138</v>
      </c>
      <c r="K22" s="86"/>
      <c r="L22" s="86"/>
      <c r="M22" s="86"/>
      <c r="N22" s="86"/>
      <c r="O22" s="86"/>
      <c r="P22" s="87"/>
      <c r="Q22" s="87"/>
      <c r="R22" s="87">
        <v>0.21435199999999999</v>
      </c>
      <c r="S22" s="87"/>
      <c r="T22" s="87">
        <f t="shared" si="2"/>
        <v>0.21435199999999999</v>
      </c>
      <c r="U22" s="109"/>
      <c r="V22" s="110"/>
      <c r="W22" s="109"/>
      <c r="AD22" s="100"/>
      <c r="AE22" s="100"/>
    </row>
    <row r="23" spans="1:31" ht="36.75" customHeight="1" x14ac:dyDescent="0.25">
      <c r="A23" s="89">
        <v>40633</v>
      </c>
      <c r="B23" s="90" t="s">
        <v>8</v>
      </c>
      <c r="C23" s="91" t="s">
        <v>7</v>
      </c>
      <c r="D23" s="91"/>
      <c r="E23" s="91"/>
      <c r="F23" s="92"/>
      <c r="G23" s="91"/>
      <c r="H23" s="91" t="s">
        <v>22</v>
      </c>
      <c r="I23" s="93">
        <v>42185</v>
      </c>
      <c r="J23" s="91" t="s">
        <v>139</v>
      </c>
      <c r="K23" s="94"/>
      <c r="L23" s="94"/>
      <c r="M23" s="96"/>
      <c r="N23" s="96"/>
      <c r="O23" s="96"/>
      <c r="P23" s="95"/>
      <c r="Q23" s="95"/>
      <c r="R23" s="95">
        <v>0</v>
      </c>
      <c r="S23" s="95"/>
      <c r="T23" s="95">
        <f t="shared" si="2"/>
        <v>0</v>
      </c>
      <c r="U23" s="109"/>
      <c r="V23" s="110"/>
      <c r="W23" s="109"/>
      <c r="Z23" s="76"/>
      <c r="AA23" s="76"/>
      <c r="AB23" s="76"/>
      <c r="AC23" s="76"/>
      <c r="AD23" s="123"/>
      <c r="AE23" s="123"/>
    </row>
    <row r="24" spans="1:31" s="97" customFormat="1" ht="36.75" customHeight="1" thickBot="1" x14ac:dyDescent="0.3">
      <c r="A24" s="122">
        <v>40633</v>
      </c>
      <c r="B24" s="82" t="s">
        <v>8</v>
      </c>
      <c r="C24" s="83" t="s">
        <v>7</v>
      </c>
      <c r="D24" s="83"/>
      <c r="E24" s="111"/>
      <c r="F24" s="84"/>
      <c r="G24" s="84"/>
      <c r="H24" s="83" t="s">
        <v>22</v>
      </c>
      <c r="I24" s="85">
        <v>42185</v>
      </c>
      <c r="J24" s="83" t="s">
        <v>139</v>
      </c>
      <c r="K24" s="86"/>
      <c r="L24" s="86"/>
      <c r="M24" s="86"/>
      <c r="N24" s="86"/>
      <c r="O24" s="86"/>
      <c r="P24" s="87"/>
      <c r="Q24" s="87"/>
      <c r="R24" s="135">
        <v>0</v>
      </c>
      <c r="S24" s="135"/>
      <c r="T24" s="135">
        <f t="shared" si="2"/>
        <v>0</v>
      </c>
      <c r="U24" s="109"/>
      <c r="V24" s="110"/>
      <c r="W24" s="109"/>
      <c r="Z24" s="76"/>
      <c r="AA24" s="98"/>
      <c r="AB24" s="98"/>
      <c r="AC24" s="98"/>
      <c r="AD24" s="111"/>
      <c r="AE24" s="111"/>
    </row>
    <row r="25" spans="1:31" ht="36.75" customHeight="1" thickTop="1" x14ac:dyDescent="0.25">
      <c r="B25" s="94"/>
      <c r="C25" s="94"/>
      <c r="D25" s="94" t="s">
        <v>156</v>
      </c>
      <c r="E25" s="94"/>
      <c r="F25" s="94"/>
      <c r="G25" s="94"/>
      <c r="H25" s="94"/>
      <c r="I25" s="94"/>
      <c r="J25" s="94"/>
      <c r="K25" s="94"/>
      <c r="L25" s="94"/>
      <c r="M25" s="94"/>
      <c r="N25" s="94"/>
      <c r="O25" s="94"/>
      <c r="P25" s="94"/>
      <c r="Q25" s="94"/>
      <c r="R25" s="134">
        <f>SUM(R15:R24)</f>
        <v>20.786726999999999</v>
      </c>
      <c r="S25" s="134">
        <f>SUM(S15:S24)</f>
        <v>-5.0278730000000005</v>
      </c>
      <c r="T25" s="134">
        <f>SUM(T15:T24)</f>
        <v>15.758853999999998</v>
      </c>
      <c r="U25" s="134">
        <f>+T25-V25</f>
        <v>15.758853999999998</v>
      </c>
      <c r="V25" s="134">
        <v>0</v>
      </c>
      <c r="W25" s="134">
        <v>0</v>
      </c>
      <c r="Z25" s="76"/>
      <c r="AA25" s="76"/>
      <c r="AB25" s="76"/>
      <c r="AC25" s="76"/>
      <c r="AD25" s="123"/>
      <c r="AE25" s="123"/>
    </row>
    <row r="26" spans="1:31" ht="36.75" customHeight="1" x14ac:dyDescent="0.25">
      <c r="B26" s="115"/>
      <c r="C26" s="115"/>
      <c r="D26" s="115" t="s">
        <v>85</v>
      </c>
      <c r="E26" s="115"/>
      <c r="F26" s="115"/>
      <c r="G26" s="115"/>
      <c r="H26" s="115"/>
      <c r="I26" s="115"/>
      <c r="J26" s="115"/>
      <c r="K26" s="115"/>
      <c r="L26" s="115"/>
      <c r="M26" s="130">
        <f>M8</f>
        <v>227.23000000000002</v>
      </c>
      <c r="N26" s="115"/>
      <c r="O26" s="130">
        <f>O8</f>
        <v>0.87923400000000007</v>
      </c>
      <c r="P26" s="130">
        <f>P8</f>
        <v>23.006122000000001</v>
      </c>
      <c r="Q26" s="115"/>
      <c r="R26" s="115"/>
      <c r="S26" s="115"/>
      <c r="T26" s="130">
        <f>T14+T25</f>
        <v>86.085853999999998</v>
      </c>
      <c r="U26" s="130">
        <f>+U25+U14</f>
        <v>61.101854000000003</v>
      </c>
      <c r="V26" s="130">
        <f>+V25+V14</f>
        <v>24.983999999999998</v>
      </c>
      <c r="W26" s="115"/>
      <c r="Z26" s="76"/>
      <c r="AA26" s="76"/>
      <c r="AB26" s="76"/>
      <c r="AC26" s="76"/>
      <c r="AD26" s="123"/>
      <c r="AE26" s="123"/>
    </row>
    <row r="27" spans="1:31" x14ac:dyDescent="0.25">
      <c r="R27" s="75"/>
      <c r="T27" s="128"/>
    </row>
    <row r="28" spans="1:31" x14ac:dyDescent="0.25">
      <c r="R28" s="75"/>
    </row>
  </sheetData>
  <sortState xmlns:xlrd2="http://schemas.microsoft.com/office/spreadsheetml/2017/richdata2" ref="Z49:AE62">
    <sortCondition ref="Z49:Z62"/>
  </sortState>
  <dataConsolidate/>
  <mergeCells count="5">
    <mergeCell ref="Z4:AE4"/>
    <mergeCell ref="Z5:AE5"/>
    <mergeCell ref="A1:W1"/>
    <mergeCell ref="K2:P2"/>
    <mergeCell ref="R2:W2"/>
  </mergeCells>
  <dataValidations count="9">
    <dataValidation type="list" allowBlank="1" showInputMessage="1" showErrorMessage="1" sqref="C5:C24" xr:uid="{00000000-0002-0000-2F00-000000000000}">
      <formula1>#REF!</formula1>
    </dataValidation>
    <dataValidation type="list" allowBlank="1" showInputMessage="1" showErrorMessage="1" sqref="E5:E13 D15:E24 D4:D14" xr:uid="{00000000-0002-0000-2F00-000001000000}">
      <formula1>$Z$7:$Z$21</formula1>
    </dataValidation>
    <dataValidation type="list" allowBlank="1" showInputMessage="1" showErrorMessage="1" sqref="E14 B25:H25 E4" xr:uid="{00000000-0002-0000-2F00-000002000000}">
      <formula1>#REF!</formula1>
    </dataValidation>
    <dataValidation type="list" allowBlank="1" showInputMessage="1" showErrorMessage="1" sqref="D29:E38" xr:uid="{00000000-0002-0000-2F00-000003000000}">
      <formula1>$A$66:$A$71</formula1>
    </dataValidation>
    <dataValidation type="list" allowBlank="1" showInputMessage="1" showErrorMessage="1" sqref="C4" xr:uid="{00000000-0002-0000-2F00-000005000000}">
      <formula1>$AA$7:$AA$11</formula1>
    </dataValidation>
    <dataValidation type="list" allowBlank="1" showInputMessage="1" showErrorMessage="1" sqref="B4:B24" xr:uid="{00000000-0002-0000-2F00-000006000000}">
      <formula1>$AC$7:$AC$10</formula1>
    </dataValidation>
    <dataValidation type="list" allowBlank="1" showInputMessage="1" showErrorMessage="1" sqref="F4:F24" xr:uid="{00000000-0002-0000-2F00-000007000000}">
      <formula1>$AE$7:$AE$20</formula1>
    </dataValidation>
    <dataValidation type="list" allowBlank="1" showInputMessage="1" showErrorMessage="1" sqref="G4:G24" xr:uid="{00000000-0002-0000-2F00-000008000000}">
      <formula1>$AD$7:$AD$20</formula1>
    </dataValidation>
    <dataValidation type="list" allowBlank="1" showInputMessage="1" showErrorMessage="1" sqref="H4:H24" xr:uid="{00000000-0002-0000-2F00-000010000000}">
      <formula1>$AB$7:$AB$18</formula1>
    </dataValidation>
  </dataValidations>
  <printOptions horizontalCentered="1"/>
  <pageMargins left="0.25" right="0.25" top="0.75" bottom="0.75" header="0.3" footer="0.3"/>
  <pageSetup paperSize="5" scale="33" orientation="landscape" horizontalDpi="300" verticalDpi="300" r:id="rId1"/>
  <headerFooter>
    <oddHeader>&amp;C&amp;"Tahoma,Bold"&amp;16University of Illinois - Derivative Position Summary as of March 31, 2011&amp;R&amp;"Tahoma,Bold"&amp;11&amp;D
&amp;T</oddHeader>
    <oddFooter>&amp;C&amp;"Arial,Bold"&amp;11Page &amp;P of &amp;N&amp;R&amp;"Arial,Bold"&amp;11&amp;D
&amp;T</oddFooter>
  </headerFooter>
  <rowBreaks count="1" manualBreakCount="1">
    <brk id="3"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28">
    <tabColor theme="2" tint="-0.749992370372631"/>
    <pageSetUpPr fitToPage="1"/>
  </sheetPr>
  <dimension ref="A1:J50"/>
  <sheetViews>
    <sheetView topLeftCell="A16" workbookViewId="0">
      <selection activeCell="D30" sqref="D30"/>
    </sheetView>
  </sheetViews>
  <sheetFormatPr defaultColWidth="9.109375" defaultRowHeight="14.4" x14ac:dyDescent="0.3"/>
  <cols>
    <col min="1" max="1" width="14.77734375" style="246" customWidth="1"/>
    <col min="2" max="3" width="21.109375" style="246" bestFit="1" customWidth="1"/>
    <col min="4" max="4" width="14.44140625" style="246" bestFit="1" customWidth="1"/>
    <col min="5" max="5" width="18.6640625" style="246" bestFit="1" customWidth="1"/>
    <col min="6" max="6" width="15.109375" style="246" customWidth="1"/>
    <col min="7" max="7" width="18.6640625" style="246" bestFit="1" customWidth="1"/>
    <col min="8" max="8" width="17.44140625" style="246" bestFit="1" customWidth="1"/>
    <col min="9" max="9" width="15.6640625" style="246" bestFit="1" customWidth="1"/>
    <col min="10" max="10" width="11.6640625" style="246" customWidth="1"/>
    <col min="11" max="16384" width="9.109375" style="246"/>
  </cols>
  <sheetData>
    <row r="1" spans="1:9" x14ac:dyDescent="0.3">
      <c r="A1" s="919"/>
      <c r="B1" s="919"/>
      <c r="C1" s="919"/>
      <c r="D1" s="919"/>
      <c r="E1" s="919"/>
      <c r="F1" s="919"/>
      <c r="G1" s="919"/>
      <c r="H1" s="919"/>
      <c r="I1" s="919"/>
    </row>
    <row r="3" spans="1:9" ht="21" x14ac:dyDescent="0.4">
      <c r="A3" s="920" t="s">
        <v>218</v>
      </c>
      <c r="B3" s="920"/>
      <c r="C3" s="920"/>
      <c r="D3" s="920"/>
      <c r="E3" s="920"/>
      <c r="F3" s="920"/>
      <c r="G3" s="920"/>
      <c r="H3" s="920"/>
      <c r="I3" s="920"/>
    </row>
    <row r="26" spans="1:10" ht="15.6" x14ac:dyDescent="0.3">
      <c r="A26" s="921" t="s">
        <v>219</v>
      </c>
      <c r="B26" s="921"/>
      <c r="C26" s="921"/>
      <c r="D26" s="921"/>
      <c r="E26" s="921"/>
      <c r="F26" s="921"/>
      <c r="G26" s="921"/>
      <c r="H26" s="921"/>
      <c r="I26" s="921"/>
      <c r="J26" s="921"/>
    </row>
    <row r="27" spans="1:10" ht="43.2" x14ac:dyDescent="0.3">
      <c r="A27" s="247" t="s">
        <v>220</v>
      </c>
      <c r="B27" s="247" t="s">
        <v>221</v>
      </c>
      <c r="C27" s="247" t="s">
        <v>222</v>
      </c>
      <c r="D27" s="247" t="s">
        <v>223</v>
      </c>
      <c r="E27" s="247" t="s">
        <v>224</v>
      </c>
      <c r="F27" s="248" t="s">
        <v>225</v>
      </c>
      <c r="G27" s="247" t="s">
        <v>226</v>
      </c>
      <c r="H27" s="248" t="s">
        <v>227</v>
      </c>
      <c r="I27" s="248" t="s">
        <v>228</v>
      </c>
      <c r="J27" s="248" t="s">
        <v>229</v>
      </c>
    </row>
    <row r="28" spans="1:10" ht="30" customHeight="1" x14ac:dyDescent="0.3">
      <c r="A28" s="918" t="s">
        <v>230</v>
      </c>
      <c r="B28" s="918"/>
      <c r="C28" s="918"/>
      <c r="D28" s="918"/>
      <c r="E28" s="918"/>
      <c r="F28" s="918"/>
      <c r="G28" s="918"/>
      <c r="H28" s="918"/>
      <c r="I28" s="918"/>
      <c r="J28" s="918"/>
    </row>
    <row r="29" spans="1:10" s="254" customFormat="1" ht="20.25" customHeight="1" x14ac:dyDescent="0.25">
      <c r="A29" s="249">
        <v>1</v>
      </c>
      <c r="B29" s="250">
        <v>1.9608000000000001</v>
      </c>
      <c r="C29" s="250">
        <f>1/B29</f>
        <v>0.50999592003263972</v>
      </c>
      <c r="D29" s="249">
        <v>70350</v>
      </c>
      <c r="E29" s="251">
        <f>+D29*C29</f>
        <v>35878.212974296206</v>
      </c>
      <c r="F29" s="251">
        <f t="shared" ref="F29:F33" si="0">+E29-$E$33</f>
        <v>-14121.787025703794</v>
      </c>
      <c r="G29" s="252">
        <f t="shared" ref="G29:G31" si="1">(B29-$B$33)*$E$33+$D$33</f>
        <v>98040</v>
      </c>
      <c r="H29" s="252">
        <f>+(B29-$B$33)*$E$33</f>
        <v>27690.000000000004</v>
      </c>
      <c r="I29" s="249">
        <f>+H29</f>
        <v>27690.000000000004</v>
      </c>
      <c r="J29" s="253" t="str">
        <f>IF(H29&gt;0,"Fav",IF(H29&lt;0,"(Unfav)","Neutral"))</f>
        <v>Fav</v>
      </c>
    </row>
    <row r="30" spans="1:10" s="254" customFormat="1" ht="20.25" customHeight="1" x14ac:dyDescent="0.25">
      <c r="A30" s="249">
        <v>1</v>
      </c>
      <c r="B30" s="250">
        <v>1.6393</v>
      </c>
      <c r="C30" s="250">
        <f t="shared" ref="C30:C36" si="2">1/B30</f>
        <v>0.61001647044470197</v>
      </c>
      <c r="D30" s="249">
        <v>70350</v>
      </c>
      <c r="E30" s="251">
        <f>+D30*C30</f>
        <v>42914.658695784783</v>
      </c>
      <c r="F30" s="251">
        <f t="shared" si="0"/>
        <v>-7085.341304215217</v>
      </c>
      <c r="G30" s="252">
        <f t="shared" si="1"/>
        <v>81965</v>
      </c>
      <c r="H30" s="252">
        <f>+(B30-$B$33)*$E$33</f>
        <v>11614.999999999998</v>
      </c>
      <c r="I30" s="249">
        <f t="shared" ref="I30:I36" si="3">+H30</f>
        <v>11614.999999999998</v>
      </c>
      <c r="J30" s="253" t="str">
        <f>IF(H30&gt;0,"Fav",IF(H30&lt;0,"(Unfav)","Neutral"))</f>
        <v>Fav</v>
      </c>
    </row>
    <row r="31" spans="1:10" s="254" customFormat="1" ht="20.25" customHeight="1" x14ac:dyDescent="0.25">
      <c r="A31" s="249">
        <v>1</v>
      </c>
      <c r="B31" s="250">
        <v>1.44</v>
      </c>
      <c r="C31" s="250">
        <f t="shared" si="2"/>
        <v>0.69444444444444442</v>
      </c>
      <c r="D31" s="249">
        <v>70350</v>
      </c>
      <c r="E31" s="251">
        <f>+D31*C31</f>
        <v>48854.166666666664</v>
      </c>
      <c r="F31" s="251">
        <f t="shared" si="0"/>
        <v>-1145.8333333333358</v>
      </c>
      <c r="G31" s="252">
        <f t="shared" si="1"/>
        <v>72000</v>
      </c>
      <c r="H31" s="252">
        <f>+(B31-$B$33)*$E$33</f>
        <v>1649.9999999999959</v>
      </c>
      <c r="I31" s="249">
        <f t="shared" si="3"/>
        <v>1649.9999999999959</v>
      </c>
      <c r="J31" s="253" t="str">
        <f>IF(H31&gt;0,"Fav",IF(H31&lt;0,"(Unfav)","Neutral"))</f>
        <v>Fav</v>
      </c>
    </row>
    <row r="32" spans="1:10" ht="30" customHeight="1" x14ac:dyDescent="0.3">
      <c r="A32" s="918" t="s">
        <v>231</v>
      </c>
      <c r="B32" s="918"/>
      <c r="C32" s="918"/>
      <c r="D32" s="918"/>
      <c r="E32" s="918"/>
      <c r="F32" s="918"/>
      <c r="G32" s="918"/>
      <c r="H32" s="918"/>
      <c r="I32" s="918"/>
      <c r="J32" s="918"/>
    </row>
    <row r="33" spans="1:10" s="259" customFormat="1" ht="20.25" customHeight="1" x14ac:dyDescent="0.25">
      <c r="A33" s="255">
        <v>1</v>
      </c>
      <c r="B33" s="250">
        <v>1.407</v>
      </c>
      <c r="C33" s="256">
        <f t="shared" si="2"/>
        <v>0.71073205401563611</v>
      </c>
      <c r="D33" s="255">
        <v>70350</v>
      </c>
      <c r="E33" s="257">
        <f>+D33*C33</f>
        <v>50000</v>
      </c>
      <c r="F33" s="257">
        <f t="shared" si="0"/>
        <v>0</v>
      </c>
      <c r="G33" s="258">
        <f>(B33-$B$33)*$E$33+$D$33</f>
        <v>70350</v>
      </c>
      <c r="H33" s="255">
        <f>+(B33-$B$33)*$E$33</f>
        <v>0</v>
      </c>
      <c r="I33" s="255">
        <f t="shared" si="3"/>
        <v>0</v>
      </c>
      <c r="J33" s="253" t="str">
        <f>IF(H33&gt;0,"Fav",IF(H33&lt;0,"(Unfav)","Neutral"))</f>
        <v>Neutral</v>
      </c>
    </row>
    <row r="34" spans="1:10" s="260" customFormat="1" ht="30" customHeight="1" x14ac:dyDescent="0.3">
      <c r="A34" s="918" t="s">
        <v>232</v>
      </c>
      <c r="B34" s="918"/>
      <c r="C34" s="918"/>
      <c r="D34" s="918"/>
      <c r="E34" s="918"/>
      <c r="F34" s="918"/>
      <c r="G34" s="918"/>
      <c r="H34" s="918"/>
      <c r="I34" s="918"/>
      <c r="J34" s="918"/>
    </row>
    <row r="35" spans="1:10" s="254" customFormat="1" ht="20.25" customHeight="1" x14ac:dyDescent="0.25">
      <c r="A35" s="249">
        <v>1</v>
      </c>
      <c r="B35" s="250">
        <v>1.2345999999999999</v>
      </c>
      <c r="C35" s="250">
        <f t="shared" si="2"/>
        <v>0.80997894054754582</v>
      </c>
      <c r="D35" s="249">
        <v>70350</v>
      </c>
      <c r="E35" s="251">
        <f>+D35*C35</f>
        <v>56982.018467519847</v>
      </c>
      <c r="F35" s="251">
        <f>+E35-$E$33</f>
        <v>6982.018467519847</v>
      </c>
      <c r="G35" s="252">
        <f t="shared" ref="G35:G36" si="4">(B35-$B$33)*$E$33+$D$33</f>
        <v>61729.999999999993</v>
      </c>
      <c r="H35" s="252">
        <f>+(B35-$B$33)*$E$33</f>
        <v>-8620.0000000000055</v>
      </c>
      <c r="I35" s="249">
        <f t="shared" si="3"/>
        <v>-8620.0000000000055</v>
      </c>
      <c r="J35" s="253" t="str">
        <f>IF(H35&gt;0,"Fav",IF(H35&lt;0,"(Unfav)","Neutral"))</f>
        <v>(Unfav)</v>
      </c>
    </row>
    <row r="36" spans="1:10" s="254" customFormat="1" ht="20.25" customHeight="1" x14ac:dyDescent="0.25">
      <c r="A36" s="249">
        <v>1</v>
      </c>
      <c r="B36" s="250">
        <v>1.0989</v>
      </c>
      <c r="C36" s="250">
        <f t="shared" si="2"/>
        <v>0.91000091000090999</v>
      </c>
      <c r="D36" s="249">
        <v>70350</v>
      </c>
      <c r="E36" s="251">
        <f>+D36*C36</f>
        <v>64018.564018564015</v>
      </c>
      <c r="F36" s="251">
        <f>+E36-$E$33</f>
        <v>14018.564018564015</v>
      </c>
      <c r="G36" s="252">
        <f t="shared" si="4"/>
        <v>54945</v>
      </c>
      <c r="H36" s="252">
        <f>+(B36-$B$33)*$E$33</f>
        <v>-15405.000000000002</v>
      </c>
      <c r="I36" s="249">
        <f t="shared" si="3"/>
        <v>-15405.000000000002</v>
      </c>
      <c r="J36" s="253" t="str">
        <f>IF(H36&gt;0,"Fav",IF(H36&lt;0,"(Unfav)","Neutral"))</f>
        <v>(Unfav)</v>
      </c>
    </row>
    <row r="37" spans="1:10" x14ac:dyDescent="0.3">
      <c r="I37" s="261"/>
    </row>
    <row r="38" spans="1:10" x14ac:dyDescent="0.3">
      <c r="I38" s="246" t="s">
        <v>233</v>
      </c>
    </row>
    <row r="39" spans="1:10" x14ac:dyDescent="0.3">
      <c r="I39" s="261"/>
    </row>
    <row r="40" spans="1:10" x14ac:dyDescent="0.3">
      <c r="I40" s="261"/>
    </row>
    <row r="41" spans="1:10" x14ac:dyDescent="0.3">
      <c r="I41" s="261"/>
    </row>
    <row r="42" spans="1:10" ht="18" x14ac:dyDescent="0.35">
      <c r="A42" s="262" t="s">
        <v>234</v>
      </c>
      <c r="I42" s="261"/>
    </row>
    <row r="43" spans="1:10" ht="18" x14ac:dyDescent="0.35">
      <c r="A43" s="262"/>
      <c r="I43" s="263"/>
    </row>
    <row r="44" spans="1:10" ht="18" x14ac:dyDescent="0.35">
      <c r="A44" s="262" t="s">
        <v>235</v>
      </c>
    </row>
    <row r="50" spans="2:2" ht="23.4" x14ac:dyDescent="0.45">
      <c r="B50" s="264"/>
    </row>
  </sheetData>
  <mergeCells count="6">
    <mergeCell ref="A34:J34"/>
    <mergeCell ref="A1:I1"/>
    <mergeCell ref="A3:I3"/>
    <mergeCell ref="A26:J26"/>
    <mergeCell ref="A28:J28"/>
    <mergeCell ref="A32:J32"/>
  </mergeCells>
  <conditionalFormatting sqref="J29:J31 J33 J35:J36">
    <cfRule type="cellIs" dxfId="1" priority="1" operator="equal">
      <formula>"(Unfav)"</formula>
    </cfRule>
    <cfRule type="cellIs" dxfId="0" priority="2" operator="equal">
      <formula>"FAV"</formula>
    </cfRule>
  </conditionalFormatting>
  <printOptions horizontalCentered="1"/>
  <pageMargins left="0.7" right="0.7" top="0.75" bottom="0.75" header="0.3" footer="0.3"/>
  <pageSetup scale="63" orientation="landscape"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ColWidth="8.77734375" defaultRowHeight="13.2" x14ac:dyDescent="0.25"/>
  <sheetData/>
  <pageMargins left="0.7" right="0.7" top="0.75" bottom="0.75" header="0.3" footer="0.3"/>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14">
    <tabColor theme="2" tint="-0.749992370372631"/>
    <pageSetUpPr fitToPage="1"/>
  </sheetPr>
  <dimension ref="A1:N96"/>
  <sheetViews>
    <sheetView workbookViewId="0">
      <pane ySplit="9" topLeftCell="A10" activePane="bottomLeft" state="frozen"/>
      <selection activeCell="D30" sqref="D30"/>
      <selection pane="bottomLeft" activeCell="D30" sqref="D30"/>
    </sheetView>
  </sheetViews>
  <sheetFormatPr defaultColWidth="8.77734375" defaultRowHeight="13.2" x14ac:dyDescent="0.25"/>
  <cols>
    <col min="1" max="1" width="10.44140625" customWidth="1"/>
    <col min="2" max="2" width="18.77734375" customWidth="1"/>
    <col min="3" max="3" width="19.44140625" customWidth="1"/>
    <col min="4" max="4" width="20" customWidth="1"/>
    <col min="5" max="7" width="17.109375" customWidth="1"/>
    <col min="8" max="8" width="21.44140625" customWidth="1"/>
    <col min="9" max="9" width="16.44140625" customWidth="1"/>
    <col min="10" max="10" width="18.44140625" customWidth="1"/>
    <col min="11" max="11" width="17.77734375" customWidth="1"/>
    <col min="12" max="13" width="17.6640625" customWidth="1"/>
  </cols>
  <sheetData>
    <row r="1" spans="1:14" ht="17.25" customHeight="1" x14ac:dyDescent="0.25">
      <c r="A1" s="5"/>
      <c r="C1" s="6" t="s">
        <v>47</v>
      </c>
      <c r="D1" s="7">
        <v>38718</v>
      </c>
      <c r="E1" s="6" t="s">
        <v>48</v>
      </c>
      <c r="F1" s="8">
        <v>39814</v>
      </c>
      <c r="H1" s="9"/>
      <c r="K1" s="926" t="s">
        <v>114</v>
      </c>
      <c r="L1" s="926"/>
    </row>
    <row r="2" spans="1:14" ht="17.25" customHeight="1" thickBot="1" x14ac:dyDescent="0.3">
      <c r="A2" s="10" t="s">
        <v>49</v>
      </c>
      <c r="C2" s="11" t="s">
        <v>50</v>
      </c>
      <c r="D2" s="12">
        <v>100000000</v>
      </c>
      <c r="E2" s="11" t="s">
        <v>51</v>
      </c>
      <c r="F2" s="13" t="s">
        <v>52</v>
      </c>
      <c r="H2" s="70" t="s">
        <v>111</v>
      </c>
    </row>
    <row r="3" spans="1:14" ht="17.25" customHeight="1" thickBot="1" x14ac:dyDescent="0.3">
      <c r="A3" s="14"/>
      <c r="C3" s="11" t="s">
        <v>53</v>
      </c>
      <c r="D3" s="15">
        <v>5</v>
      </c>
      <c r="E3" s="11" t="s">
        <v>54</v>
      </c>
      <c r="F3" s="16">
        <v>2.3197956832538082E-2</v>
      </c>
      <c r="H3" s="70" t="s">
        <v>112</v>
      </c>
      <c r="I3" s="9"/>
    </row>
    <row r="4" spans="1:14" x14ac:dyDescent="0.25">
      <c r="A4" s="17"/>
      <c r="C4" s="18" t="s">
        <v>55</v>
      </c>
      <c r="D4" s="19" t="s">
        <v>56</v>
      </c>
      <c r="E4" s="18" t="s">
        <v>57</v>
      </c>
      <c r="F4" s="20" t="s">
        <v>58</v>
      </c>
      <c r="H4" s="71" t="s">
        <v>113</v>
      </c>
    </row>
    <row r="5" spans="1:14" x14ac:dyDescent="0.25">
      <c r="D5" s="2"/>
      <c r="E5" s="21"/>
      <c r="F5" s="21"/>
      <c r="G5" s="22"/>
    </row>
    <row r="9" spans="1:14" ht="13.8" thickBot="1" x14ac:dyDescent="0.3">
      <c r="A9" s="927" t="s">
        <v>99</v>
      </c>
      <c r="B9" s="927"/>
      <c r="C9" s="927"/>
      <c r="D9" s="927"/>
      <c r="E9" s="927"/>
      <c r="F9" s="927"/>
      <c r="G9" s="927"/>
      <c r="H9" s="927"/>
      <c r="I9" s="927"/>
      <c r="J9" s="927"/>
      <c r="K9" s="927"/>
      <c r="L9" s="927"/>
      <c r="M9" s="927"/>
    </row>
    <row r="10" spans="1:14" ht="13.8" thickTop="1" x14ac:dyDescent="0.25">
      <c r="E10" s="23"/>
      <c r="F10" s="23"/>
    </row>
    <row r="11" spans="1:14" ht="33" customHeight="1" x14ac:dyDescent="0.25">
      <c r="A11" s="23" t="s">
        <v>59</v>
      </c>
      <c r="B11" s="23" t="s">
        <v>60</v>
      </c>
      <c r="C11" s="23" t="s">
        <v>55</v>
      </c>
      <c r="D11" s="23" t="s">
        <v>61</v>
      </c>
      <c r="E11" s="24" t="s">
        <v>62</v>
      </c>
      <c r="F11" s="24" t="s">
        <v>63</v>
      </c>
      <c r="G11" s="24" t="s">
        <v>64</v>
      </c>
      <c r="H11" s="23" t="s">
        <v>65</v>
      </c>
      <c r="I11" s="24" t="s">
        <v>66</v>
      </c>
      <c r="J11" s="24" t="s">
        <v>67</v>
      </c>
      <c r="K11" s="23" t="s">
        <v>68</v>
      </c>
      <c r="L11" s="24" t="s">
        <v>69</v>
      </c>
      <c r="M11" s="24" t="s">
        <v>70</v>
      </c>
      <c r="N11" s="23"/>
    </row>
    <row r="12" spans="1:14" ht="33" hidden="1" customHeight="1" x14ac:dyDescent="0.25">
      <c r="A12" s="23"/>
      <c r="B12" s="23"/>
      <c r="C12" s="23"/>
      <c r="D12" s="23"/>
      <c r="E12" s="24"/>
      <c r="F12" s="24"/>
      <c r="G12" s="24"/>
      <c r="H12" s="23"/>
      <c r="I12" s="24"/>
      <c r="J12" s="24"/>
      <c r="K12" s="23">
        <v>1</v>
      </c>
      <c r="L12" s="24"/>
      <c r="M12" s="24"/>
      <c r="N12" s="23"/>
    </row>
    <row r="13" spans="1:14" s="9" customFormat="1" ht="30.75" customHeight="1" x14ac:dyDescent="0.25">
      <c r="A13" s="3">
        <f>EDATE(D1,6)</f>
        <v>38899</v>
      </c>
      <c r="B13" s="2">
        <v>1</v>
      </c>
      <c r="C13" s="25">
        <f>IF($D$4="30/360",180,(A13-D1))</f>
        <v>180</v>
      </c>
      <c r="D13" s="26">
        <f>+$D$2</f>
        <v>100000000</v>
      </c>
      <c r="E13" s="27">
        <v>1.4999999999999999E-2</v>
      </c>
      <c r="F13" s="28">
        <f>+E13*C13/360</f>
        <v>7.4999999999999989E-3</v>
      </c>
      <c r="G13" s="29">
        <f>+D13*F13</f>
        <v>749999.99999999988</v>
      </c>
      <c r="H13" s="30">
        <f t="shared" ref="H13:H22" si="0">IF(D13:D128,+$F$3,0)</f>
        <v>2.3197956832538082E-2</v>
      </c>
      <c r="I13" s="31">
        <f>+D13*H13/2</f>
        <v>1159897.8416269042</v>
      </c>
      <c r="J13" s="31">
        <f>+I13-G13</f>
        <v>409897.84162690432</v>
      </c>
      <c r="K13" s="32">
        <f>+K12/(1+(E13*180/360))</f>
        <v>0.99255583126550861</v>
      </c>
      <c r="L13" s="31">
        <f>+J13*K13</f>
        <v>406846.49292992981</v>
      </c>
      <c r="M13" s="33">
        <f>+L13</f>
        <v>406846.49292992981</v>
      </c>
      <c r="N13" s="34"/>
    </row>
    <row r="14" spans="1:14" s="9" customFormat="1" ht="19.5" customHeight="1" x14ac:dyDescent="0.25">
      <c r="A14" s="3">
        <f>EDATE(A13,6)</f>
        <v>39083</v>
      </c>
      <c r="B14" s="2">
        <v>2</v>
      </c>
      <c r="C14" s="25">
        <f>IF($D$4="30/360",180,(A14-A13))</f>
        <v>180</v>
      </c>
      <c r="D14" s="26">
        <f t="shared" ref="D14:D18" si="1">+$D$2</f>
        <v>100000000</v>
      </c>
      <c r="E14" s="27">
        <v>1.7500000000000002E-2</v>
      </c>
      <c r="F14" s="28">
        <f t="shared" ref="F14:F22" si="2">+E14*C14/360</f>
        <v>8.7500000000000008E-3</v>
      </c>
      <c r="G14" s="29">
        <f t="shared" ref="G14:G22" si="3">+D14*E14/2</f>
        <v>875000.00000000012</v>
      </c>
      <c r="H14" s="30">
        <f t="shared" si="0"/>
        <v>2.3197956832538082E-2</v>
      </c>
      <c r="I14" s="31">
        <f t="shared" ref="I14:I22" si="4">+D14*H14/2</f>
        <v>1159897.8416269042</v>
      </c>
      <c r="J14" s="31">
        <f t="shared" ref="J14:J22" si="5">+I14-G14</f>
        <v>284897.84162690409</v>
      </c>
      <c r="K14" s="32">
        <f t="shared" ref="K14:K22" si="6">+K13/(1+(E14*180/360))</f>
        <v>0.98394630113061565</v>
      </c>
      <c r="L14" s="31">
        <f t="shared" ref="L14:L22" si="7">+J14*K14</f>
        <v>280324.17746888823</v>
      </c>
      <c r="M14" s="33">
        <f>+M13+L14</f>
        <v>687170.6703988181</v>
      </c>
      <c r="N14" s="34"/>
    </row>
    <row r="15" spans="1:14" s="9" customFormat="1" ht="19.5" customHeight="1" x14ac:dyDescent="0.25">
      <c r="A15" s="3">
        <f t="shared" ref="A15:A22" si="8">EDATE(A14,6)</f>
        <v>39264</v>
      </c>
      <c r="B15" s="2">
        <v>3</v>
      </c>
      <c r="C15" s="25">
        <f t="shared" ref="C15:C22" si="9">IF($D$4="30/360",180,(A15-A14))</f>
        <v>180</v>
      </c>
      <c r="D15" s="26">
        <f t="shared" si="1"/>
        <v>100000000</v>
      </c>
      <c r="E15" s="27">
        <v>0.02</v>
      </c>
      <c r="F15" s="28">
        <f t="shared" si="2"/>
        <v>0.01</v>
      </c>
      <c r="G15" s="29">
        <f t="shared" si="3"/>
        <v>1000000</v>
      </c>
      <c r="H15" s="30">
        <f t="shared" si="0"/>
        <v>2.3197956832538082E-2</v>
      </c>
      <c r="I15" s="31">
        <f t="shared" si="4"/>
        <v>1159897.8416269042</v>
      </c>
      <c r="J15" s="31">
        <f t="shared" si="5"/>
        <v>159897.84162690421</v>
      </c>
      <c r="K15" s="32">
        <f t="shared" si="6"/>
        <v>0.97420425854516401</v>
      </c>
      <c r="L15" s="31">
        <f t="shared" si="7"/>
        <v>155773.15824511027</v>
      </c>
      <c r="M15" s="33">
        <f t="shared" ref="M15:M22" si="10">+M14+L15</f>
        <v>842943.8286439284</v>
      </c>
      <c r="N15" s="34"/>
    </row>
    <row r="16" spans="1:14" s="9" customFormat="1" ht="19.5" customHeight="1" x14ac:dyDescent="0.25">
      <c r="A16" s="3">
        <f t="shared" si="8"/>
        <v>39448</v>
      </c>
      <c r="B16" s="2">
        <v>4</v>
      </c>
      <c r="C16" s="25">
        <f t="shared" si="9"/>
        <v>180</v>
      </c>
      <c r="D16" s="26">
        <f t="shared" si="1"/>
        <v>100000000</v>
      </c>
      <c r="E16" s="27">
        <v>2.5000000000000001E-2</v>
      </c>
      <c r="F16" s="28">
        <f t="shared" si="2"/>
        <v>1.2500000000000001E-2</v>
      </c>
      <c r="G16" s="29">
        <f t="shared" si="3"/>
        <v>1250000</v>
      </c>
      <c r="H16" s="30">
        <f t="shared" si="0"/>
        <v>2.3197956832538082E-2</v>
      </c>
      <c r="I16" s="31">
        <f t="shared" si="4"/>
        <v>1159897.8416269042</v>
      </c>
      <c r="J16" s="31">
        <f t="shared" si="5"/>
        <v>-90102.158373095794</v>
      </c>
      <c r="K16" s="32">
        <f t="shared" si="6"/>
        <v>0.96217704547670524</v>
      </c>
      <c r="L16" s="31">
        <f t="shared" si="7"/>
        <v>-86694.228534499489</v>
      </c>
      <c r="M16" s="33">
        <f t="shared" si="10"/>
        <v>756249.60010942887</v>
      </c>
      <c r="N16" s="34"/>
    </row>
    <row r="17" spans="1:14" s="9" customFormat="1" ht="19.5" customHeight="1" x14ac:dyDescent="0.25">
      <c r="A17" s="3">
        <f t="shared" si="8"/>
        <v>39630</v>
      </c>
      <c r="B17" s="2">
        <v>5</v>
      </c>
      <c r="C17" s="25">
        <f t="shared" si="9"/>
        <v>180</v>
      </c>
      <c r="D17" s="26">
        <f t="shared" si="1"/>
        <v>100000000</v>
      </c>
      <c r="E17" s="27">
        <v>0.03</v>
      </c>
      <c r="F17" s="28">
        <f t="shared" si="2"/>
        <v>1.4999999999999998E-2</v>
      </c>
      <c r="G17" s="29">
        <f t="shared" si="3"/>
        <v>1500000</v>
      </c>
      <c r="H17" s="30">
        <f t="shared" si="0"/>
        <v>2.3197956832538082E-2</v>
      </c>
      <c r="I17" s="31">
        <f t="shared" si="4"/>
        <v>1159897.8416269042</v>
      </c>
      <c r="J17" s="31">
        <f t="shared" si="5"/>
        <v>-340102.15837309579</v>
      </c>
      <c r="K17" s="32">
        <f t="shared" si="6"/>
        <v>0.94795768027261607</v>
      </c>
      <c r="L17" s="31">
        <f t="shared" si="7"/>
        <v>-322402.45310706977</v>
      </c>
      <c r="M17" s="33">
        <f t="shared" si="10"/>
        <v>433847.1470023591</v>
      </c>
      <c r="N17" s="34"/>
    </row>
    <row r="18" spans="1:14" s="9" customFormat="1" ht="19.5" customHeight="1" x14ac:dyDescent="0.25">
      <c r="A18" s="3">
        <f t="shared" si="8"/>
        <v>39814</v>
      </c>
      <c r="B18" s="2">
        <v>6</v>
      </c>
      <c r="C18" s="25">
        <f t="shared" si="9"/>
        <v>180</v>
      </c>
      <c r="D18" s="26">
        <f t="shared" si="1"/>
        <v>100000000</v>
      </c>
      <c r="E18" s="27">
        <v>3.2500000000000001E-2</v>
      </c>
      <c r="F18" s="28">
        <f t="shared" si="2"/>
        <v>1.6250000000000001E-2</v>
      </c>
      <c r="G18" s="29">
        <f t="shared" si="3"/>
        <v>1625000</v>
      </c>
      <c r="H18" s="30">
        <f t="shared" si="0"/>
        <v>2.3197956832538082E-2</v>
      </c>
      <c r="I18" s="31">
        <f t="shared" si="4"/>
        <v>1159897.8416269042</v>
      </c>
      <c r="J18" s="31">
        <f t="shared" si="5"/>
        <v>-465102.15837309579</v>
      </c>
      <c r="K18" s="32">
        <f t="shared" si="6"/>
        <v>0.93279968538510794</v>
      </c>
      <c r="L18" s="31">
        <f t="shared" si="7"/>
        <v>-433847.1470023584</v>
      </c>
      <c r="M18" s="33">
        <f t="shared" si="10"/>
        <v>6.9849193096160889E-10</v>
      </c>
      <c r="N18" s="34"/>
    </row>
    <row r="19" spans="1:14" s="9" customFormat="1" ht="19.5" customHeight="1" x14ac:dyDescent="0.25">
      <c r="A19" s="3">
        <f t="shared" si="8"/>
        <v>39995</v>
      </c>
      <c r="B19" s="2">
        <v>7</v>
      </c>
      <c r="C19" s="25">
        <f t="shared" si="9"/>
        <v>180</v>
      </c>
      <c r="D19" s="26">
        <v>0</v>
      </c>
      <c r="E19" s="27"/>
      <c r="F19" s="28">
        <f t="shared" si="2"/>
        <v>0</v>
      </c>
      <c r="G19" s="29">
        <f t="shared" si="3"/>
        <v>0</v>
      </c>
      <c r="H19" s="30">
        <f t="shared" si="0"/>
        <v>0</v>
      </c>
      <c r="I19" s="31">
        <f t="shared" si="4"/>
        <v>0</v>
      </c>
      <c r="J19" s="31">
        <f t="shared" si="5"/>
        <v>0</v>
      </c>
      <c r="K19" s="32">
        <f t="shared" si="6"/>
        <v>0.93279968538510794</v>
      </c>
      <c r="L19" s="31">
        <f t="shared" si="7"/>
        <v>0</v>
      </c>
      <c r="M19" s="33">
        <f t="shared" si="10"/>
        <v>6.9849193096160889E-10</v>
      </c>
      <c r="N19" s="34"/>
    </row>
    <row r="20" spans="1:14" s="9" customFormat="1" ht="19.5" customHeight="1" x14ac:dyDescent="0.25">
      <c r="A20" s="3">
        <f t="shared" si="8"/>
        <v>40179</v>
      </c>
      <c r="B20" s="2">
        <v>8</v>
      </c>
      <c r="C20" s="25">
        <f t="shared" si="9"/>
        <v>180</v>
      </c>
      <c r="D20" s="26">
        <v>0</v>
      </c>
      <c r="E20" s="27"/>
      <c r="F20" s="28">
        <f t="shared" si="2"/>
        <v>0</v>
      </c>
      <c r="G20" s="29">
        <f t="shared" si="3"/>
        <v>0</v>
      </c>
      <c r="H20" s="30">
        <f t="shared" si="0"/>
        <v>0</v>
      </c>
      <c r="I20" s="31">
        <f t="shared" si="4"/>
        <v>0</v>
      </c>
      <c r="J20" s="31">
        <f t="shared" si="5"/>
        <v>0</v>
      </c>
      <c r="K20" s="32">
        <f t="shared" si="6"/>
        <v>0.93279968538510794</v>
      </c>
      <c r="L20" s="31">
        <f t="shared" si="7"/>
        <v>0</v>
      </c>
      <c r="M20" s="33">
        <f t="shared" si="10"/>
        <v>6.9849193096160889E-10</v>
      </c>
      <c r="N20" s="34"/>
    </row>
    <row r="21" spans="1:14" s="9" customFormat="1" ht="19.5" customHeight="1" x14ac:dyDescent="0.25">
      <c r="A21" s="3">
        <f t="shared" si="8"/>
        <v>40360</v>
      </c>
      <c r="B21" s="2">
        <v>9</v>
      </c>
      <c r="C21" s="25">
        <f t="shared" si="9"/>
        <v>180</v>
      </c>
      <c r="D21" s="26">
        <v>0</v>
      </c>
      <c r="E21" s="27"/>
      <c r="F21" s="28">
        <f t="shared" si="2"/>
        <v>0</v>
      </c>
      <c r="G21" s="29">
        <f t="shared" si="3"/>
        <v>0</v>
      </c>
      <c r="H21" s="30">
        <f t="shared" si="0"/>
        <v>0</v>
      </c>
      <c r="I21" s="31">
        <f t="shared" si="4"/>
        <v>0</v>
      </c>
      <c r="J21" s="31">
        <f t="shared" si="5"/>
        <v>0</v>
      </c>
      <c r="K21" s="32">
        <f t="shared" si="6"/>
        <v>0.93279968538510794</v>
      </c>
      <c r="L21" s="31">
        <f t="shared" si="7"/>
        <v>0</v>
      </c>
      <c r="M21" s="33">
        <f t="shared" si="10"/>
        <v>6.9849193096160889E-10</v>
      </c>
      <c r="N21" s="34"/>
    </row>
    <row r="22" spans="1:14" s="9" customFormat="1" ht="19.5" customHeight="1" x14ac:dyDescent="0.4">
      <c r="A22" s="3">
        <f t="shared" si="8"/>
        <v>40544</v>
      </c>
      <c r="B22" s="2">
        <v>10</v>
      </c>
      <c r="C22" s="25">
        <f t="shared" si="9"/>
        <v>180</v>
      </c>
      <c r="D22" s="26">
        <v>0</v>
      </c>
      <c r="E22" s="27"/>
      <c r="F22" s="28">
        <f t="shared" si="2"/>
        <v>0</v>
      </c>
      <c r="G22" s="35">
        <f t="shared" si="3"/>
        <v>0</v>
      </c>
      <c r="H22" s="30">
        <f t="shared" si="0"/>
        <v>0</v>
      </c>
      <c r="I22" s="36">
        <f t="shared" si="4"/>
        <v>0</v>
      </c>
      <c r="J22" s="36">
        <f t="shared" si="5"/>
        <v>0</v>
      </c>
      <c r="K22" s="32">
        <f t="shared" si="6"/>
        <v>0.93279968538510794</v>
      </c>
      <c r="L22" s="36">
        <f t="shared" si="7"/>
        <v>0</v>
      </c>
      <c r="M22" s="33">
        <f t="shared" si="10"/>
        <v>6.9849193096160889E-10</v>
      </c>
      <c r="N22" s="34"/>
    </row>
    <row r="23" spans="1:14" s="9" customFormat="1" ht="19.5" customHeight="1" x14ac:dyDescent="0.4">
      <c r="A23" s="37"/>
      <c r="B23" s="38"/>
      <c r="C23" s="38"/>
      <c r="D23" s="37"/>
      <c r="E23" s="37"/>
      <c r="F23" s="37"/>
      <c r="G23" s="39">
        <f>SUM(G13:G22)</f>
        <v>7000000</v>
      </c>
      <c r="H23" s="39"/>
      <c r="I23" s="39">
        <f t="shared" ref="I23:J23" si="11">SUM(I13:I22)</f>
        <v>6959387.0497614248</v>
      </c>
      <c r="J23" s="39">
        <f t="shared" si="11"/>
        <v>-40612.950238574762</v>
      </c>
      <c r="K23" s="39"/>
      <c r="L23" s="39">
        <f t="shared" ref="L23" si="12">SUM(L13:L22)</f>
        <v>6.9849193096160889E-10</v>
      </c>
    </row>
    <row r="24" spans="1:14" x14ac:dyDescent="0.25">
      <c r="B24" s="40"/>
      <c r="C24" s="40"/>
      <c r="G24" s="41" t="s">
        <v>71</v>
      </c>
      <c r="H24" s="41"/>
      <c r="I24" s="41" t="s">
        <v>72</v>
      </c>
      <c r="J24" s="42" t="s">
        <v>96</v>
      </c>
    </row>
    <row r="25" spans="1:14" x14ac:dyDescent="0.25">
      <c r="B25" s="40"/>
      <c r="C25" s="40"/>
      <c r="J25" s="42" t="s">
        <v>97</v>
      </c>
    </row>
    <row r="26" spans="1:14" ht="18" customHeight="1" thickBot="1" x14ac:dyDescent="0.3">
      <c r="A26" s="927" t="s">
        <v>93</v>
      </c>
      <c r="B26" s="927"/>
      <c r="C26" s="927"/>
      <c r="D26" s="927"/>
      <c r="E26" s="927"/>
      <c r="F26" s="927"/>
      <c r="G26" s="927"/>
      <c r="H26" s="927"/>
      <c r="I26" s="927"/>
      <c r="J26" s="927"/>
      <c r="K26" s="927"/>
      <c r="L26" s="927"/>
      <c r="M26" s="927"/>
    </row>
    <row r="27" spans="1:14" ht="13.8" thickTop="1" x14ac:dyDescent="0.25">
      <c r="A27" s="43"/>
      <c r="B27" s="44"/>
      <c r="C27" s="44"/>
      <c r="D27" s="45"/>
    </row>
    <row r="28" spans="1:14" x14ac:dyDescent="0.25">
      <c r="A28" s="46" t="s">
        <v>73</v>
      </c>
      <c r="B28" s="47"/>
      <c r="C28" s="48">
        <v>39264</v>
      </c>
      <c r="D28" s="49"/>
    </row>
    <row r="29" spans="1:14" x14ac:dyDescent="0.25">
      <c r="A29" s="46" t="s">
        <v>94</v>
      </c>
      <c r="B29" s="47"/>
      <c r="C29" s="58">
        <v>5.0000000000000001E-3</v>
      </c>
      <c r="D29" s="49"/>
    </row>
    <row r="30" spans="1:14" ht="20.25" customHeight="1" x14ac:dyDescent="0.25">
      <c r="A30" s="50" t="s">
        <v>74</v>
      </c>
      <c r="B30" s="51"/>
      <c r="C30" s="52">
        <f>ABS(VLOOKUP($C$28,$A$34:$M$43,13))</f>
        <v>1537589.8375837021</v>
      </c>
      <c r="D30" s="53" t="str">
        <f>IF(VLOOKUP($C$28,$A$35:$M$44,13)&lt;0,"University Receives","University Pays")</f>
        <v>University Receives</v>
      </c>
    </row>
    <row r="31" spans="1:14" x14ac:dyDescent="0.25">
      <c r="D31" t="s">
        <v>75</v>
      </c>
      <c r="E31" s="23"/>
      <c r="F31" s="23"/>
    </row>
    <row r="32" spans="1:14" ht="42" customHeight="1" x14ac:dyDescent="0.25">
      <c r="A32" s="23" t="s">
        <v>59</v>
      </c>
      <c r="B32" s="23" t="s">
        <v>60</v>
      </c>
      <c r="C32" s="23" t="s">
        <v>55</v>
      </c>
      <c r="D32" s="23" t="s">
        <v>61</v>
      </c>
      <c r="E32" s="24" t="s">
        <v>76</v>
      </c>
      <c r="F32" s="24" t="s">
        <v>63</v>
      </c>
      <c r="G32" s="24" t="s">
        <v>64</v>
      </c>
      <c r="H32" s="23" t="s">
        <v>65</v>
      </c>
      <c r="I32" s="24" t="s">
        <v>66</v>
      </c>
      <c r="J32" s="24" t="s">
        <v>98</v>
      </c>
      <c r="K32" s="23" t="s">
        <v>68</v>
      </c>
      <c r="L32" s="24" t="s">
        <v>69</v>
      </c>
      <c r="M32" s="24" t="s">
        <v>78</v>
      </c>
      <c r="N32" s="23"/>
    </row>
    <row r="33" spans="1:14" ht="42" hidden="1" customHeight="1" x14ac:dyDescent="0.25">
      <c r="A33" s="23"/>
      <c r="B33" s="23"/>
      <c r="C33" s="23"/>
      <c r="D33" s="23"/>
      <c r="E33" s="24"/>
      <c r="F33" s="24"/>
      <c r="G33" s="24"/>
      <c r="H33" s="23"/>
      <c r="I33" s="24"/>
      <c r="J33" s="24"/>
      <c r="K33" s="23">
        <v>1</v>
      </c>
      <c r="L33" s="24"/>
      <c r="M33" s="24"/>
      <c r="N33" s="23"/>
    </row>
    <row r="34" spans="1:14" ht="27" customHeight="1" x14ac:dyDescent="0.25">
      <c r="A34" s="3">
        <f>+A13</f>
        <v>38899</v>
      </c>
      <c r="B34" s="2">
        <f>+B13</f>
        <v>1</v>
      </c>
      <c r="C34" s="2">
        <f>+C13</f>
        <v>180</v>
      </c>
      <c r="D34" s="54">
        <f>+D13</f>
        <v>100000000</v>
      </c>
      <c r="E34" s="27">
        <f>+E13</f>
        <v>1.4999999999999999E-2</v>
      </c>
      <c r="F34" s="28">
        <f>+E34*C34/360</f>
        <v>7.4999999999999989E-3</v>
      </c>
      <c r="G34" s="29">
        <f>+D34*F34</f>
        <v>749999.99999999988</v>
      </c>
      <c r="H34" s="55">
        <f>+H13</f>
        <v>2.3197956832538082E-2</v>
      </c>
      <c r="I34" s="31">
        <f>+D34*H34/2</f>
        <v>1159897.8416269042</v>
      </c>
      <c r="J34" s="31">
        <f>+I34-G34</f>
        <v>409897.84162690432</v>
      </c>
      <c r="K34" s="32">
        <f>+K33/(1+(E34*180/360))</f>
        <v>0.99255583126550861</v>
      </c>
      <c r="L34" s="31">
        <f>+J34*K34</f>
        <v>406846.49292992981</v>
      </c>
      <c r="M34" s="31">
        <f>+$L$44-SUM($L$34:L34)</f>
        <v>-1590681.8275556718</v>
      </c>
    </row>
    <row r="35" spans="1:14" ht="19.5" customHeight="1" x14ac:dyDescent="0.25">
      <c r="A35" s="3">
        <f t="shared" ref="A35:D43" si="13">+A14</f>
        <v>39083</v>
      </c>
      <c r="B35" s="2">
        <f t="shared" si="13"/>
        <v>2</v>
      </c>
      <c r="C35" s="2">
        <f t="shared" si="13"/>
        <v>180</v>
      </c>
      <c r="D35" s="54">
        <f t="shared" si="13"/>
        <v>100000000</v>
      </c>
      <c r="E35" s="27">
        <f>+E14+$C$29</f>
        <v>2.2500000000000003E-2</v>
      </c>
      <c r="F35" s="28">
        <f t="shared" ref="F35:F43" si="14">+E35*C35/360</f>
        <v>1.1250000000000001E-2</v>
      </c>
      <c r="G35" s="29">
        <f t="shared" ref="G35:G43" si="15">+D35*E35/2</f>
        <v>1125000.0000000002</v>
      </c>
      <c r="H35" s="55">
        <f t="shared" ref="H35:H43" si="16">+H14</f>
        <v>2.3197956832538082E-2</v>
      </c>
      <c r="I35" s="31">
        <f t="shared" ref="I35:I43" si="17">+D35*H35/2</f>
        <v>1159897.8416269042</v>
      </c>
      <c r="J35" s="31">
        <f t="shared" ref="J35:J43" si="18">+I35-G35</f>
        <v>34897.841626903974</v>
      </c>
      <c r="K35" s="32">
        <f t="shared" ref="K35:K43" si="19">+K34/(1+(E35*180/360))</f>
        <v>0.98151380100421126</v>
      </c>
      <c r="L35" s="31">
        <f t="shared" ref="L35:L43" si="20">+J35*K35</f>
        <v>34252.713182065505</v>
      </c>
      <c r="M35" s="31">
        <f>+$L$44-SUM($L$34:L35)</f>
        <v>-1624934.5407377372</v>
      </c>
    </row>
    <row r="36" spans="1:14" ht="19.5" customHeight="1" x14ac:dyDescent="0.25">
      <c r="A36" s="3">
        <f t="shared" si="13"/>
        <v>39264</v>
      </c>
      <c r="B36" s="2">
        <f t="shared" si="13"/>
        <v>3</v>
      </c>
      <c r="C36" s="2">
        <f t="shared" si="13"/>
        <v>180</v>
      </c>
      <c r="D36" s="54">
        <f t="shared" si="13"/>
        <v>100000000</v>
      </c>
      <c r="E36" s="27">
        <f t="shared" ref="E36:E39" si="21">+E15+$C$29</f>
        <v>2.5000000000000001E-2</v>
      </c>
      <c r="F36" s="28">
        <f t="shared" si="14"/>
        <v>1.2500000000000001E-2</v>
      </c>
      <c r="G36" s="29">
        <f t="shared" si="15"/>
        <v>1250000</v>
      </c>
      <c r="H36" s="55">
        <f t="shared" si="16"/>
        <v>2.3197956832538082E-2</v>
      </c>
      <c r="I36" s="31">
        <f t="shared" si="17"/>
        <v>1159897.8416269042</v>
      </c>
      <c r="J36" s="31">
        <f t="shared" si="18"/>
        <v>-90102.158373095794</v>
      </c>
      <c r="K36" s="32">
        <f t="shared" si="19"/>
        <v>0.96939634667082597</v>
      </c>
      <c r="L36" s="31">
        <f t="shared" si="20"/>
        <v>-87344.703154035233</v>
      </c>
      <c r="M36" s="31">
        <f>+$L$44-SUM($L$34:L36)</f>
        <v>-1537589.8375837021</v>
      </c>
    </row>
    <row r="37" spans="1:14" ht="19.5" customHeight="1" x14ac:dyDescent="0.25">
      <c r="A37" s="3">
        <f t="shared" si="13"/>
        <v>39448</v>
      </c>
      <c r="B37" s="2">
        <f t="shared" si="13"/>
        <v>4</v>
      </c>
      <c r="C37" s="2">
        <f t="shared" si="13"/>
        <v>180</v>
      </c>
      <c r="D37" s="54">
        <f t="shared" si="13"/>
        <v>100000000</v>
      </c>
      <c r="E37" s="27">
        <f t="shared" si="21"/>
        <v>3.0000000000000002E-2</v>
      </c>
      <c r="F37" s="28">
        <f t="shared" si="14"/>
        <v>1.5000000000000001E-2</v>
      </c>
      <c r="G37" s="29">
        <f t="shared" si="15"/>
        <v>1500000.0000000002</v>
      </c>
      <c r="H37" s="55">
        <f t="shared" si="16"/>
        <v>2.3197956832538082E-2</v>
      </c>
      <c r="I37" s="31">
        <f t="shared" si="17"/>
        <v>1159897.8416269042</v>
      </c>
      <c r="J37" s="31">
        <f t="shared" si="18"/>
        <v>-340102.15837309603</v>
      </c>
      <c r="K37" s="32">
        <f t="shared" si="19"/>
        <v>0.95507029228652818</v>
      </c>
      <c r="L37" s="31">
        <f t="shared" si="20"/>
        <v>-324821.46780467191</v>
      </c>
      <c r="M37" s="31">
        <f>+$L$44-SUM($L$34:L37)</f>
        <v>-1212768.3697790301</v>
      </c>
    </row>
    <row r="38" spans="1:14" ht="19.5" customHeight="1" x14ac:dyDescent="0.25">
      <c r="A38" s="3">
        <f t="shared" si="13"/>
        <v>39630</v>
      </c>
      <c r="B38" s="2">
        <f t="shared" si="13"/>
        <v>5</v>
      </c>
      <c r="C38" s="2">
        <f t="shared" si="13"/>
        <v>180</v>
      </c>
      <c r="D38" s="54">
        <f t="shared" si="13"/>
        <v>100000000</v>
      </c>
      <c r="E38" s="27">
        <f t="shared" si="21"/>
        <v>3.4999999999999996E-2</v>
      </c>
      <c r="F38" s="28">
        <f t="shared" si="14"/>
        <v>1.7499999999999998E-2</v>
      </c>
      <c r="G38" s="29">
        <f t="shared" si="15"/>
        <v>1749999.9999999998</v>
      </c>
      <c r="H38" s="55">
        <f t="shared" si="16"/>
        <v>2.3197956832538082E-2</v>
      </c>
      <c r="I38" s="31">
        <f t="shared" si="17"/>
        <v>1159897.8416269042</v>
      </c>
      <c r="J38" s="31">
        <f t="shared" si="18"/>
        <v>-590102.15837309556</v>
      </c>
      <c r="K38" s="32">
        <f t="shared" si="19"/>
        <v>0.93864402190322171</v>
      </c>
      <c r="L38" s="31">
        <f t="shared" si="20"/>
        <v>-553895.86326909426</v>
      </c>
      <c r="M38" s="31">
        <f>+$L$44-SUM($L$34:L38)</f>
        <v>-658872.50650993595</v>
      </c>
    </row>
    <row r="39" spans="1:14" ht="19.5" customHeight="1" x14ac:dyDescent="0.25">
      <c r="A39" s="3">
        <f t="shared" si="13"/>
        <v>39814</v>
      </c>
      <c r="B39" s="2">
        <f t="shared" si="13"/>
        <v>6</v>
      </c>
      <c r="C39" s="2">
        <f t="shared" si="13"/>
        <v>180</v>
      </c>
      <c r="D39" s="54">
        <f t="shared" si="13"/>
        <v>100000000</v>
      </c>
      <c r="E39" s="27">
        <f t="shared" si="21"/>
        <v>3.7499999999999999E-2</v>
      </c>
      <c r="F39" s="28">
        <f t="shared" si="14"/>
        <v>1.8749999999999999E-2</v>
      </c>
      <c r="G39" s="29">
        <f t="shared" si="15"/>
        <v>1875000</v>
      </c>
      <c r="H39" s="55">
        <f t="shared" si="16"/>
        <v>2.3197956832538082E-2</v>
      </c>
      <c r="I39" s="31">
        <f t="shared" si="17"/>
        <v>1159897.8416269042</v>
      </c>
      <c r="J39" s="31">
        <f t="shared" si="18"/>
        <v>-715102.15837309579</v>
      </c>
      <c r="K39" s="32">
        <f t="shared" si="19"/>
        <v>0.92136836505837705</v>
      </c>
      <c r="L39" s="31">
        <f t="shared" si="20"/>
        <v>-658872.50650993583</v>
      </c>
      <c r="M39" s="31">
        <f>+$L$44-SUM($L$34:L39)</f>
        <v>0</v>
      </c>
    </row>
    <row r="40" spans="1:14" ht="19.5" customHeight="1" x14ac:dyDescent="0.25">
      <c r="A40" s="3">
        <f t="shared" si="13"/>
        <v>39995</v>
      </c>
      <c r="B40" s="2">
        <f t="shared" si="13"/>
        <v>7</v>
      </c>
      <c r="C40" s="2">
        <f t="shared" si="13"/>
        <v>180</v>
      </c>
      <c r="D40" s="54">
        <f t="shared" si="13"/>
        <v>0</v>
      </c>
      <c r="E40" s="27"/>
      <c r="F40" s="28">
        <f t="shared" si="14"/>
        <v>0</v>
      </c>
      <c r="G40" s="29">
        <f t="shared" si="15"/>
        <v>0</v>
      </c>
      <c r="H40" s="55">
        <f t="shared" si="16"/>
        <v>0</v>
      </c>
      <c r="I40" s="31">
        <f t="shared" si="17"/>
        <v>0</v>
      </c>
      <c r="J40" s="31">
        <f t="shared" si="18"/>
        <v>0</v>
      </c>
      <c r="K40" s="32">
        <f t="shared" si="19"/>
        <v>0.92136836505837705</v>
      </c>
      <c r="L40" s="31">
        <f t="shared" si="20"/>
        <v>0</v>
      </c>
      <c r="M40" s="31">
        <f>+$L$44-SUM($L$34:L40)</f>
        <v>0</v>
      </c>
    </row>
    <row r="41" spans="1:14" ht="19.5" customHeight="1" x14ac:dyDescent="0.25">
      <c r="A41" s="3">
        <f t="shared" si="13"/>
        <v>40179</v>
      </c>
      <c r="B41" s="2">
        <f t="shared" si="13"/>
        <v>8</v>
      </c>
      <c r="C41" s="2">
        <f t="shared" si="13"/>
        <v>180</v>
      </c>
      <c r="D41" s="54">
        <f t="shared" si="13"/>
        <v>0</v>
      </c>
      <c r="E41" s="27"/>
      <c r="F41" s="28">
        <f t="shared" si="14"/>
        <v>0</v>
      </c>
      <c r="G41" s="29">
        <f t="shared" si="15"/>
        <v>0</v>
      </c>
      <c r="H41" s="55">
        <f t="shared" si="16"/>
        <v>0</v>
      </c>
      <c r="I41" s="31">
        <f t="shared" si="17"/>
        <v>0</v>
      </c>
      <c r="J41" s="31">
        <f t="shared" si="18"/>
        <v>0</v>
      </c>
      <c r="K41" s="32">
        <f t="shared" si="19"/>
        <v>0.92136836505837705</v>
      </c>
      <c r="L41" s="31">
        <f t="shared" si="20"/>
        <v>0</v>
      </c>
      <c r="M41" s="31">
        <f>+$L$44-SUM($L$34:L41)</f>
        <v>0</v>
      </c>
    </row>
    <row r="42" spans="1:14" ht="19.5" customHeight="1" x14ac:dyDescent="0.25">
      <c r="A42" s="3">
        <f t="shared" si="13"/>
        <v>40360</v>
      </c>
      <c r="B42" s="2">
        <f t="shared" si="13"/>
        <v>9</v>
      </c>
      <c r="C42" s="2">
        <f t="shared" si="13"/>
        <v>180</v>
      </c>
      <c r="D42" s="54">
        <f t="shared" si="13"/>
        <v>0</v>
      </c>
      <c r="E42" s="27"/>
      <c r="F42" s="28">
        <f t="shared" si="14"/>
        <v>0</v>
      </c>
      <c r="G42" s="29">
        <f t="shared" si="15"/>
        <v>0</v>
      </c>
      <c r="H42" s="55">
        <f t="shared" si="16"/>
        <v>0</v>
      </c>
      <c r="I42" s="31">
        <f t="shared" si="17"/>
        <v>0</v>
      </c>
      <c r="J42" s="31">
        <f t="shared" si="18"/>
        <v>0</v>
      </c>
      <c r="K42" s="32">
        <f t="shared" si="19"/>
        <v>0.92136836505837705</v>
      </c>
      <c r="L42" s="31">
        <f t="shared" si="20"/>
        <v>0</v>
      </c>
      <c r="M42" s="31">
        <f>+$L$44-SUM($L$34:L42)</f>
        <v>0</v>
      </c>
    </row>
    <row r="43" spans="1:14" ht="19.5" customHeight="1" x14ac:dyDescent="0.4">
      <c r="A43" s="3">
        <f t="shared" si="13"/>
        <v>40544</v>
      </c>
      <c r="B43" s="2">
        <f t="shared" si="13"/>
        <v>10</v>
      </c>
      <c r="C43" s="2">
        <f t="shared" si="13"/>
        <v>180</v>
      </c>
      <c r="D43" s="54">
        <f t="shared" si="13"/>
        <v>0</v>
      </c>
      <c r="E43" s="27"/>
      <c r="F43" s="28">
        <f t="shared" si="14"/>
        <v>0</v>
      </c>
      <c r="G43" s="35">
        <f t="shared" si="15"/>
        <v>0</v>
      </c>
      <c r="H43" s="55">
        <f t="shared" si="16"/>
        <v>0</v>
      </c>
      <c r="I43" s="36">
        <f t="shared" si="17"/>
        <v>0</v>
      </c>
      <c r="J43" s="36">
        <f t="shared" si="18"/>
        <v>0</v>
      </c>
      <c r="K43" s="32">
        <f t="shared" si="19"/>
        <v>0.92136836505837705</v>
      </c>
      <c r="L43" s="36">
        <f t="shared" si="20"/>
        <v>0</v>
      </c>
      <c r="M43" s="31">
        <f>+$L$44-SUM($L$34:L43)</f>
        <v>0</v>
      </c>
    </row>
    <row r="44" spans="1:14" ht="15" x14ac:dyDescent="0.4">
      <c r="A44" s="3"/>
      <c r="B44" s="37"/>
      <c r="C44" s="37"/>
      <c r="D44" s="37"/>
      <c r="E44" s="37"/>
      <c r="F44" s="37"/>
      <c r="G44" s="39">
        <f>SUM(G34:G43)</f>
        <v>8250000</v>
      </c>
      <c r="H44" s="37"/>
      <c r="I44" s="39">
        <f t="shared" ref="I44:J44" si="22">SUM(I34:I43)</f>
        <v>6959387.0497614248</v>
      </c>
      <c r="J44" s="39">
        <f t="shared" si="22"/>
        <v>-1290612.9502385748</v>
      </c>
      <c r="K44" s="39"/>
      <c r="L44" s="39">
        <f t="shared" ref="L44" si="23">SUM(L34:L43)</f>
        <v>-1183835.3346257419</v>
      </c>
      <c r="M44" s="37"/>
    </row>
    <row r="45" spans="1:14" x14ac:dyDescent="0.25">
      <c r="A45" s="37"/>
      <c r="B45" s="37"/>
      <c r="C45" s="37"/>
      <c r="D45" s="37"/>
      <c r="E45" s="37"/>
      <c r="F45" s="37"/>
      <c r="G45" s="37"/>
      <c r="H45" s="37"/>
      <c r="I45" s="37"/>
      <c r="J45" s="37"/>
      <c r="K45" s="37"/>
      <c r="L45" s="37"/>
      <c r="M45" s="37"/>
    </row>
    <row r="46" spans="1:14" x14ac:dyDescent="0.25">
      <c r="A46" s="37"/>
      <c r="B46" s="37"/>
      <c r="C46" s="37"/>
      <c r="D46" s="37"/>
      <c r="E46" s="37"/>
      <c r="F46" s="37"/>
      <c r="G46" s="41" t="s">
        <v>71</v>
      </c>
      <c r="H46" s="37"/>
      <c r="I46" s="41" t="s">
        <v>72</v>
      </c>
      <c r="J46" s="42" t="s">
        <v>96</v>
      </c>
      <c r="K46" s="37"/>
      <c r="L46" s="37"/>
      <c r="M46" s="37"/>
    </row>
    <row r="47" spans="1:14" x14ac:dyDescent="0.25">
      <c r="A47" s="37"/>
      <c r="B47" s="37"/>
      <c r="C47" s="37"/>
      <c r="D47" s="37"/>
      <c r="E47" s="37"/>
      <c r="F47" s="37"/>
      <c r="G47" s="37"/>
      <c r="H47" s="37"/>
      <c r="I47" s="37"/>
      <c r="J47" s="42" t="s">
        <v>97</v>
      </c>
      <c r="K47" s="37"/>
      <c r="L47" s="37"/>
      <c r="M47" s="37"/>
    </row>
    <row r="48" spans="1:14" x14ac:dyDescent="0.25">
      <c r="A48" s="37"/>
      <c r="B48" s="37"/>
      <c r="C48" s="37"/>
      <c r="D48" s="37"/>
      <c r="E48" s="37"/>
      <c r="F48" s="37"/>
      <c r="G48" s="37"/>
      <c r="H48" s="37"/>
      <c r="I48" s="37"/>
      <c r="J48" s="37"/>
      <c r="K48" s="37"/>
      <c r="L48" s="37"/>
      <c r="M48" s="37"/>
    </row>
    <row r="49" spans="1:13" ht="13.8" thickBot="1" x14ac:dyDescent="0.3">
      <c r="A49" s="927" t="s">
        <v>95</v>
      </c>
      <c r="B49" s="927"/>
      <c r="C49" s="927"/>
      <c r="D49" s="927"/>
      <c r="E49" s="927"/>
      <c r="F49" s="927"/>
      <c r="G49" s="927"/>
      <c r="H49" s="927"/>
      <c r="I49" s="927"/>
      <c r="J49" s="927"/>
      <c r="K49" s="927"/>
      <c r="L49" s="927"/>
      <c r="M49" s="927"/>
    </row>
    <row r="50" spans="1:13" ht="13.8" thickTop="1" x14ac:dyDescent="0.25">
      <c r="A50" s="43"/>
      <c r="B50" s="44"/>
      <c r="C50" s="44"/>
      <c r="D50" s="45"/>
    </row>
    <row r="51" spans="1:13" x14ac:dyDescent="0.25">
      <c r="A51" s="46" t="s">
        <v>73</v>
      </c>
      <c r="B51" s="47"/>
      <c r="C51" s="48">
        <v>39264</v>
      </c>
      <c r="D51" s="49"/>
    </row>
    <row r="52" spans="1:13" x14ac:dyDescent="0.25">
      <c r="A52" s="46" t="s">
        <v>100</v>
      </c>
      <c r="B52" s="47"/>
      <c r="C52" s="58">
        <v>5.0000000000000001E-3</v>
      </c>
      <c r="D52" s="49"/>
    </row>
    <row r="53" spans="1:13" x14ac:dyDescent="0.25">
      <c r="A53" s="50" t="s">
        <v>74</v>
      </c>
      <c r="B53" s="51"/>
      <c r="C53" s="52">
        <f>ABS(VLOOKUP($C$51,$A$57:$M$66,13))</f>
        <v>134407.78560339729</v>
      </c>
      <c r="D53" s="53" t="str">
        <f>IF(VLOOKUP($C$28,$A$35:$M$44,13)&lt;0,"University Receives","University Pays")</f>
        <v>University Receives</v>
      </c>
    </row>
    <row r="54" spans="1:13" x14ac:dyDescent="0.25">
      <c r="D54" t="s">
        <v>75</v>
      </c>
      <c r="E54" s="23"/>
      <c r="F54" s="23"/>
    </row>
    <row r="55" spans="1:13" ht="39.6" x14ac:dyDescent="0.25">
      <c r="A55" s="23" t="s">
        <v>59</v>
      </c>
      <c r="B55" s="23" t="s">
        <v>60</v>
      </c>
      <c r="C55" s="23" t="s">
        <v>55</v>
      </c>
      <c r="D55" s="23" t="s">
        <v>61</v>
      </c>
      <c r="E55" s="24" t="s">
        <v>76</v>
      </c>
      <c r="F55" s="24" t="s">
        <v>63</v>
      </c>
      <c r="G55" s="24" t="s">
        <v>64</v>
      </c>
      <c r="H55" s="23" t="s">
        <v>65</v>
      </c>
      <c r="I55" s="24" t="s">
        <v>66</v>
      </c>
      <c r="J55" s="24" t="s">
        <v>77</v>
      </c>
      <c r="K55" s="23" t="s">
        <v>68</v>
      </c>
      <c r="L55" s="24" t="s">
        <v>69</v>
      </c>
      <c r="M55" s="24" t="s">
        <v>78</v>
      </c>
    </row>
    <row r="56" spans="1:13" hidden="1" x14ac:dyDescent="0.25">
      <c r="A56" s="23"/>
      <c r="B56" s="23"/>
      <c r="C56" s="23"/>
      <c r="D56" s="23"/>
      <c r="E56" s="24"/>
      <c r="F56" s="24"/>
      <c r="G56" s="24"/>
      <c r="H56" s="23"/>
      <c r="I56" s="24"/>
      <c r="J56" s="24"/>
      <c r="K56" s="23">
        <v>1</v>
      </c>
      <c r="L56" s="24"/>
      <c r="M56" s="24"/>
    </row>
    <row r="57" spans="1:13" ht="19.5" customHeight="1" x14ac:dyDescent="0.25">
      <c r="A57" s="3">
        <f>+A13</f>
        <v>38899</v>
      </c>
      <c r="B57" s="2">
        <f>+B13</f>
        <v>1</v>
      </c>
      <c r="C57" s="2">
        <f>+C13</f>
        <v>180</v>
      </c>
      <c r="D57" s="54">
        <f>+D13</f>
        <v>100000000</v>
      </c>
      <c r="E57" s="27">
        <f>+E13</f>
        <v>1.4999999999999999E-2</v>
      </c>
      <c r="F57" s="28">
        <f>+E57*C57/360</f>
        <v>7.4999999999999989E-3</v>
      </c>
      <c r="G57" s="29">
        <f>+D57*F57</f>
        <v>749999.99999999988</v>
      </c>
      <c r="H57" s="55">
        <f>+H13</f>
        <v>2.3197956832538082E-2</v>
      </c>
      <c r="I57" s="31">
        <f>+D57*H57/2</f>
        <v>1159897.8416269042</v>
      </c>
      <c r="J57" s="31">
        <f>+I57-G57</f>
        <v>409897.84162690432</v>
      </c>
      <c r="K57" s="32">
        <f>+K56/(1+(E57*180/360))</f>
        <v>0.99255583126550861</v>
      </c>
      <c r="L57" s="31">
        <f>+J57*K57</f>
        <v>406846.49292992981</v>
      </c>
      <c r="M57" s="31">
        <f>+$L$67-SUM($L$57:L57)</f>
        <v>794520.24503078056</v>
      </c>
    </row>
    <row r="58" spans="1:13" ht="19.5" customHeight="1" x14ac:dyDescent="0.25">
      <c r="A58" s="3">
        <f t="shared" ref="A58:D66" si="24">+A14</f>
        <v>39083</v>
      </c>
      <c r="B58" s="2">
        <f t="shared" si="24"/>
        <v>2</v>
      </c>
      <c r="C58" s="2">
        <f t="shared" si="24"/>
        <v>180</v>
      </c>
      <c r="D58" s="54">
        <f t="shared" si="24"/>
        <v>100000000</v>
      </c>
      <c r="E58" s="27">
        <f>+E14-$C$52</f>
        <v>1.2500000000000001E-2</v>
      </c>
      <c r="F58" s="28">
        <f t="shared" ref="F58:F66" si="25">+E58*C58/360</f>
        <v>6.2500000000000003E-3</v>
      </c>
      <c r="G58" s="29">
        <f t="shared" ref="G58:G66" si="26">+D58*E58/2</f>
        <v>625000</v>
      </c>
      <c r="H58" s="55">
        <f t="shared" ref="H58:H66" si="27">+H14</f>
        <v>2.3197956832538082E-2</v>
      </c>
      <c r="I58" s="31">
        <f t="shared" ref="I58:I66" si="28">+D58*H58/2</f>
        <v>1159897.8416269042</v>
      </c>
      <c r="J58" s="31">
        <f t="shared" ref="J58:J66" si="29">+I58-G58</f>
        <v>534897.84162690421</v>
      </c>
      <c r="K58" s="32">
        <f t="shared" ref="K58:K66" si="30">+K57/(1+(E58*180/360))</f>
        <v>0.98639088821416998</v>
      </c>
      <c r="L58" s="31">
        <f t="shared" ref="L58:L66" si="31">+J58*K58</f>
        <v>527618.35710620449</v>
      </c>
      <c r="M58" s="31">
        <f>+$L$67-SUM($L$57:L58)</f>
        <v>266901.88792457618</v>
      </c>
    </row>
    <row r="59" spans="1:13" ht="19.5" customHeight="1" x14ac:dyDescent="0.25">
      <c r="A59" s="3">
        <f t="shared" si="24"/>
        <v>39264</v>
      </c>
      <c r="B59" s="2">
        <f t="shared" si="24"/>
        <v>3</v>
      </c>
      <c r="C59" s="2">
        <f t="shared" si="24"/>
        <v>180</v>
      </c>
      <c r="D59" s="54">
        <f t="shared" si="24"/>
        <v>100000000</v>
      </c>
      <c r="E59" s="27">
        <f t="shared" ref="E59:E62" si="32">+E15-$C$52</f>
        <v>1.4999999999999999E-2</v>
      </c>
      <c r="F59" s="28">
        <f t="shared" si="25"/>
        <v>7.4999999999999989E-3</v>
      </c>
      <c r="G59" s="29">
        <f t="shared" si="26"/>
        <v>750000</v>
      </c>
      <c r="H59" s="55">
        <f t="shared" si="27"/>
        <v>2.3197956832538082E-2</v>
      </c>
      <c r="I59" s="31">
        <f t="shared" si="28"/>
        <v>1159897.8416269042</v>
      </c>
      <c r="J59" s="31">
        <f t="shared" si="29"/>
        <v>409897.84162690421</v>
      </c>
      <c r="K59" s="32">
        <f t="shared" si="30"/>
        <v>0.97904802800413893</v>
      </c>
      <c r="L59" s="31">
        <f t="shared" si="31"/>
        <v>401309.67352797341</v>
      </c>
      <c r="M59" s="31">
        <f>+$L$67-SUM($L$57:L59)</f>
        <v>-134407.78560339729</v>
      </c>
    </row>
    <row r="60" spans="1:13" ht="19.5" customHeight="1" x14ac:dyDescent="0.25">
      <c r="A60" s="3">
        <f t="shared" si="24"/>
        <v>39448</v>
      </c>
      <c r="B60" s="2">
        <f t="shared" si="24"/>
        <v>4</v>
      </c>
      <c r="C60" s="2">
        <f t="shared" si="24"/>
        <v>180</v>
      </c>
      <c r="D60" s="54">
        <f t="shared" si="24"/>
        <v>100000000</v>
      </c>
      <c r="E60" s="27">
        <f t="shared" si="32"/>
        <v>0.02</v>
      </c>
      <c r="F60" s="28">
        <f t="shared" si="25"/>
        <v>0.01</v>
      </c>
      <c r="G60" s="29">
        <f t="shared" si="26"/>
        <v>1000000</v>
      </c>
      <c r="H60" s="55">
        <f t="shared" si="27"/>
        <v>2.3197956832538082E-2</v>
      </c>
      <c r="I60" s="31">
        <f t="shared" si="28"/>
        <v>1159897.8416269042</v>
      </c>
      <c r="J60" s="31">
        <f t="shared" si="29"/>
        <v>159897.84162690421</v>
      </c>
      <c r="K60" s="32">
        <f t="shared" si="30"/>
        <v>0.96935448317241479</v>
      </c>
      <c r="L60" s="31">
        <f t="shared" si="31"/>
        <v>154997.68963063235</v>
      </c>
      <c r="M60" s="31">
        <f>+$L$67-SUM($L$57:L60)</f>
        <v>-289405.47523402958</v>
      </c>
    </row>
    <row r="61" spans="1:13" ht="19.5" customHeight="1" x14ac:dyDescent="0.25">
      <c r="A61" s="3">
        <f t="shared" si="24"/>
        <v>39630</v>
      </c>
      <c r="B61" s="2">
        <f t="shared" si="24"/>
        <v>5</v>
      </c>
      <c r="C61" s="2">
        <f t="shared" si="24"/>
        <v>180</v>
      </c>
      <c r="D61" s="54">
        <f t="shared" si="24"/>
        <v>100000000</v>
      </c>
      <c r="E61" s="27">
        <f t="shared" si="32"/>
        <v>2.4999999999999998E-2</v>
      </c>
      <c r="F61" s="28">
        <f t="shared" si="25"/>
        <v>1.2500000000000001E-2</v>
      </c>
      <c r="G61" s="29">
        <f t="shared" si="26"/>
        <v>1250000</v>
      </c>
      <c r="H61" s="55">
        <f t="shared" si="27"/>
        <v>2.3197956832538082E-2</v>
      </c>
      <c r="I61" s="31">
        <f t="shared" si="28"/>
        <v>1159897.8416269042</v>
      </c>
      <c r="J61" s="31">
        <f t="shared" si="29"/>
        <v>-90102.158373095794</v>
      </c>
      <c r="K61" s="32">
        <f t="shared" si="30"/>
        <v>0.95738714387398993</v>
      </c>
      <c r="L61" s="31">
        <f t="shared" si="31"/>
        <v>-86262.648061700093</v>
      </c>
      <c r="M61" s="31">
        <f>+$L$67-SUM($L$57:L61)</f>
        <v>-203142.82717232942</v>
      </c>
    </row>
    <row r="62" spans="1:13" ht="19.5" customHeight="1" x14ac:dyDescent="0.25">
      <c r="A62" s="3">
        <f t="shared" si="24"/>
        <v>39814</v>
      </c>
      <c r="B62" s="2">
        <f t="shared" si="24"/>
        <v>6</v>
      </c>
      <c r="C62" s="2">
        <f t="shared" si="24"/>
        <v>180</v>
      </c>
      <c r="D62" s="54">
        <f t="shared" si="24"/>
        <v>100000000</v>
      </c>
      <c r="E62" s="27">
        <f t="shared" si="32"/>
        <v>2.75E-2</v>
      </c>
      <c r="F62" s="28">
        <f t="shared" si="25"/>
        <v>1.375E-2</v>
      </c>
      <c r="G62" s="29">
        <f t="shared" si="26"/>
        <v>1375000</v>
      </c>
      <c r="H62" s="55">
        <f t="shared" si="27"/>
        <v>2.3197956832538082E-2</v>
      </c>
      <c r="I62" s="31">
        <f t="shared" si="28"/>
        <v>1159897.8416269042</v>
      </c>
      <c r="J62" s="31">
        <f t="shared" si="29"/>
        <v>-215102.15837309579</v>
      </c>
      <c r="K62" s="32">
        <f t="shared" si="30"/>
        <v>0.94440162157730212</v>
      </c>
      <c r="L62" s="31">
        <f t="shared" si="31"/>
        <v>-203142.82717232933</v>
      </c>
      <c r="M62" s="31">
        <f>+$L$67-SUM($L$57:L62)</f>
        <v>0</v>
      </c>
    </row>
    <row r="63" spans="1:13" ht="19.5" customHeight="1" x14ac:dyDescent="0.25">
      <c r="A63" s="3">
        <f t="shared" si="24"/>
        <v>39995</v>
      </c>
      <c r="B63" s="2">
        <f t="shared" si="24"/>
        <v>7</v>
      </c>
      <c r="C63" s="2">
        <f t="shared" si="24"/>
        <v>180</v>
      </c>
      <c r="D63" s="54">
        <f t="shared" si="24"/>
        <v>0</v>
      </c>
      <c r="E63" s="27"/>
      <c r="F63" s="28">
        <f t="shared" si="25"/>
        <v>0</v>
      </c>
      <c r="G63" s="29">
        <f t="shared" si="26"/>
        <v>0</v>
      </c>
      <c r="H63" s="55">
        <f t="shared" si="27"/>
        <v>0</v>
      </c>
      <c r="I63" s="31">
        <f t="shared" si="28"/>
        <v>0</v>
      </c>
      <c r="J63" s="31">
        <f t="shared" si="29"/>
        <v>0</v>
      </c>
      <c r="K63" s="32">
        <f t="shared" si="30"/>
        <v>0.94440162157730212</v>
      </c>
      <c r="L63" s="31">
        <f t="shared" si="31"/>
        <v>0</v>
      </c>
      <c r="M63" s="31">
        <f>+$L$67-SUM($L$57:L63)</f>
        <v>0</v>
      </c>
    </row>
    <row r="64" spans="1:13" ht="19.5" customHeight="1" x14ac:dyDescent="0.25">
      <c r="A64" s="3">
        <f t="shared" si="24"/>
        <v>40179</v>
      </c>
      <c r="B64" s="2">
        <f t="shared" si="24"/>
        <v>8</v>
      </c>
      <c r="C64" s="2">
        <f t="shared" si="24"/>
        <v>180</v>
      </c>
      <c r="D64" s="54">
        <f t="shared" si="24"/>
        <v>0</v>
      </c>
      <c r="E64" s="27"/>
      <c r="F64" s="28">
        <f t="shared" si="25"/>
        <v>0</v>
      </c>
      <c r="G64" s="29">
        <f t="shared" si="26"/>
        <v>0</v>
      </c>
      <c r="H64" s="55">
        <f t="shared" si="27"/>
        <v>0</v>
      </c>
      <c r="I64" s="31">
        <f t="shared" si="28"/>
        <v>0</v>
      </c>
      <c r="J64" s="31">
        <f t="shared" si="29"/>
        <v>0</v>
      </c>
      <c r="K64" s="32">
        <f t="shared" si="30"/>
        <v>0.94440162157730212</v>
      </c>
      <c r="L64" s="31">
        <f t="shared" si="31"/>
        <v>0</v>
      </c>
      <c r="M64" s="31">
        <f>+$L$67-SUM($L$57:L64)</f>
        <v>0</v>
      </c>
    </row>
    <row r="65" spans="1:13" ht="19.5" customHeight="1" x14ac:dyDescent="0.25">
      <c r="A65" s="3">
        <f t="shared" si="24"/>
        <v>40360</v>
      </c>
      <c r="B65" s="2">
        <f t="shared" si="24"/>
        <v>9</v>
      </c>
      <c r="C65" s="2">
        <f t="shared" si="24"/>
        <v>180</v>
      </c>
      <c r="D65" s="54">
        <f t="shared" si="24"/>
        <v>0</v>
      </c>
      <c r="E65" s="27"/>
      <c r="F65" s="28">
        <f t="shared" si="25"/>
        <v>0</v>
      </c>
      <c r="G65" s="29">
        <f t="shared" si="26"/>
        <v>0</v>
      </c>
      <c r="H65" s="55">
        <f t="shared" si="27"/>
        <v>0</v>
      </c>
      <c r="I65" s="31">
        <f t="shared" si="28"/>
        <v>0</v>
      </c>
      <c r="J65" s="31">
        <f t="shared" si="29"/>
        <v>0</v>
      </c>
      <c r="K65" s="32">
        <f t="shared" si="30"/>
        <v>0.94440162157730212</v>
      </c>
      <c r="L65" s="31">
        <f t="shared" si="31"/>
        <v>0</v>
      </c>
      <c r="M65" s="31">
        <f>+$L$67-SUM($L$57:L65)</f>
        <v>0</v>
      </c>
    </row>
    <row r="66" spans="1:13" ht="19.5" customHeight="1" x14ac:dyDescent="0.4">
      <c r="A66" s="3">
        <f t="shared" si="24"/>
        <v>40544</v>
      </c>
      <c r="B66" s="2">
        <f t="shared" si="24"/>
        <v>10</v>
      </c>
      <c r="C66" s="2">
        <f t="shared" si="24"/>
        <v>180</v>
      </c>
      <c r="D66" s="54">
        <f t="shared" si="24"/>
        <v>0</v>
      </c>
      <c r="E66" s="27"/>
      <c r="F66" s="28">
        <f t="shared" si="25"/>
        <v>0</v>
      </c>
      <c r="G66" s="35">
        <f t="shared" si="26"/>
        <v>0</v>
      </c>
      <c r="H66" s="55">
        <f t="shared" si="27"/>
        <v>0</v>
      </c>
      <c r="I66" s="36">
        <f t="shared" si="28"/>
        <v>0</v>
      </c>
      <c r="J66" s="36">
        <f t="shared" si="29"/>
        <v>0</v>
      </c>
      <c r="K66" s="32">
        <f t="shared" si="30"/>
        <v>0.94440162157730212</v>
      </c>
      <c r="L66" s="36">
        <f t="shared" si="31"/>
        <v>0</v>
      </c>
      <c r="M66" s="31">
        <f>+$L$67-SUM($L$57:L66)</f>
        <v>0</v>
      </c>
    </row>
    <row r="67" spans="1:13" ht="19.5" customHeight="1" x14ac:dyDescent="0.4">
      <c r="A67" s="3"/>
      <c r="B67" s="37"/>
      <c r="C67" s="37"/>
      <c r="D67" s="37"/>
      <c r="E67" s="37"/>
      <c r="F67" s="37"/>
      <c r="G67" s="39">
        <f>SUM(G57:G66)</f>
        <v>5750000</v>
      </c>
      <c r="H67" s="37"/>
      <c r="I67" s="39">
        <f t="shared" ref="I67:J67" si="33">SUM(I57:I66)</f>
        <v>6959387.0497614248</v>
      </c>
      <c r="J67" s="39">
        <f t="shared" si="33"/>
        <v>1209387.0497614255</v>
      </c>
      <c r="K67" s="39"/>
      <c r="L67" s="39">
        <f t="shared" ref="L67" si="34">SUM(L57:L66)</f>
        <v>1201366.7379607104</v>
      </c>
      <c r="M67" s="37"/>
    </row>
    <row r="68" spans="1:13" x14ac:dyDescent="0.25">
      <c r="A68" s="37"/>
      <c r="B68" s="37"/>
      <c r="C68" s="37"/>
      <c r="D68" s="37"/>
      <c r="E68" s="37"/>
      <c r="F68" s="37"/>
      <c r="G68" s="37"/>
      <c r="H68" s="37"/>
      <c r="I68" s="37"/>
      <c r="J68" s="37"/>
      <c r="K68" s="37"/>
      <c r="L68" s="37"/>
      <c r="M68" s="37"/>
    </row>
    <row r="69" spans="1:13" x14ac:dyDescent="0.25">
      <c r="A69" s="37"/>
      <c r="B69" s="37"/>
      <c r="C69" s="37"/>
      <c r="D69" s="37"/>
      <c r="E69" s="37"/>
      <c r="F69" s="37"/>
      <c r="G69" s="41" t="s">
        <v>71</v>
      </c>
      <c r="H69" s="37"/>
      <c r="I69" s="41" t="s">
        <v>72</v>
      </c>
      <c r="J69" s="42" t="s">
        <v>96</v>
      </c>
      <c r="K69" s="37"/>
      <c r="L69" s="37"/>
      <c r="M69" s="37"/>
    </row>
    <row r="70" spans="1:13" x14ac:dyDescent="0.25">
      <c r="A70" s="37"/>
      <c r="B70" s="37"/>
      <c r="C70" s="37"/>
      <c r="D70" s="37"/>
      <c r="E70" s="37"/>
      <c r="F70" s="37"/>
      <c r="G70" s="37"/>
      <c r="H70" s="37"/>
      <c r="I70" s="37"/>
      <c r="J70" s="42" t="s">
        <v>97</v>
      </c>
      <c r="K70" s="37"/>
      <c r="L70" s="37"/>
      <c r="M70" s="37"/>
    </row>
    <row r="71" spans="1:13" x14ac:dyDescent="0.25">
      <c r="A71" s="37"/>
      <c r="B71" s="37"/>
      <c r="C71" s="37"/>
      <c r="D71" s="37"/>
      <c r="E71" s="37"/>
      <c r="F71" s="37"/>
      <c r="G71" s="37"/>
      <c r="H71" s="37"/>
      <c r="I71" s="37"/>
      <c r="J71" s="37"/>
      <c r="K71" s="37"/>
      <c r="L71" s="37"/>
      <c r="M71" s="37"/>
    </row>
    <row r="72" spans="1:13" ht="13.8" thickBot="1" x14ac:dyDescent="0.3">
      <c r="B72" s="925" t="s">
        <v>101</v>
      </c>
      <c r="C72" s="925"/>
      <c r="D72" s="925"/>
      <c r="E72" s="925"/>
      <c r="F72" s="925"/>
      <c r="G72" s="925"/>
      <c r="H72" s="69"/>
      <c r="I72" s="69"/>
      <c r="J72" s="69"/>
      <c r="K72" s="69"/>
      <c r="L72" s="69"/>
      <c r="M72" s="69"/>
    </row>
    <row r="73" spans="1:13" ht="13.8" thickBot="1" x14ac:dyDescent="0.3">
      <c r="A73" s="37"/>
      <c r="B73" s="37"/>
      <c r="C73" s="37"/>
      <c r="D73" s="37"/>
      <c r="E73" s="37"/>
      <c r="F73" s="37"/>
      <c r="G73" s="37"/>
      <c r="H73" s="37"/>
      <c r="I73" s="37"/>
      <c r="K73" s="37"/>
      <c r="L73" s="37"/>
      <c r="M73" s="37"/>
    </row>
    <row r="74" spans="1:13" x14ac:dyDescent="0.25">
      <c r="B74" s="922" t="s">
        <v>102</v>
      </c>
      <c r="C74" s="923"/>
      <c r="D74" s="923"/>
      <c r="E74" s="923"/>
      <c r="F74" s="923"/>
      <c r="G74" s="924"/>
    </row>
    <row r="75" spans="1:13" x14ac:dyDescent="0.25">
      <c r="B75" s="60">
        <f>+C30</f>
        <v>1537589.8375837021</v>
      </c>
      <c r="C75" s="61">
        <v>39083</v>
      </c>
      <c r="D75" s="61">
        <v>39264</v>
      </c>
      <c r="E75" s="61">
        <v>39448</v>
      </c>
      <c r="F75" s="61">
        <v>39630</v>
      </c>
      <c r="G75" s="62">
        <v>39814</v>
      </c>
      <c r="H75" s="3"/>
      <c r="I75" s="3"/>
      <c r="J75" s="3"/>
      <c r="K75" s="3"/>
    </row>
    <row r="76" spans="1:13" x14ac:dyDescent="0.25">
      <c r="B76" s="63">
        <v>1E-3</v>
      </c>
      <c r="C76" s="64">
        <f t="dataTable" ref="C76:G84" dt2D="1" dtr="1" r1="C28" r2="C29"/>
        <v>876018.78103592549</v>
      </c>
      <c r="D76" s="64">
        <v>982975.73652106943</v>
      </c>
      <c r="E76" s="64">
        <v>848372.57833159179</v>
      </c>
      <c r="F76" s="64">
        <v>479302.48950890999</v>
      </c>
      <c r="G76" s="65">
        <v>0</v>
      </c>
      <c r="H76" s="59"/>
      <c r="I76" s="59"/>
      <c r="J76" s="59"/>
      <c r="K76" s="59"/>
    </row>
    <row r="77" spans="1:13" x14ac:dyDescent="0.25">
      <c r="B77" s="63">
        <v>2E-3</v>
      </c>
      <c r="C77" s="64">
        <v>1064216.9001300556</v>
      </c>
      <c r="D77" s="64">
        <v>1122454.1825581344</v>
      </c>
      <c r="E77" s="64">
        <v>940084.25630206929</v>
      </c>
      <c r="F77" s="64">
        <v>524531.69331468048</v>
      </c>
      <c r="G77" s="65">
        <v>0</v>
      </c>
      <c r="H77" s="59"/>
      <c r="I77" s="59"/>
      <c r="J77" s="59"/>
      <c r="K77" s="59"/>
    </row>
    <row r="78" spans="1:13" x14ac:dyDescent="0.25">
      <c r="B78" s="63">
        <v>3.0000000000000001E-3</v>
      </c>
      <c r="C78" s="64">
        <v>1251767.3555801993</v>
      </c>
      <c r="D78" s="64">
        <v>1261381.2799084559</v>
      </c>
      <c r="E78" s="64">
        <v>1031386.3257933378</v>
      </c>
      <c r="F78" s="64">
        <v>569535.76413009514</v>
      </c>
      <c r="G78" s="65">
        <v>0</v>
      </c>
      <c r="H78" s="59"/>
      <c r="I78" s="59"/>
      <c r="J78" s="59"/>
      <c r="K78" s="59"/>
    </row>
    <row r="79" spans="1:13" x14ac:dyDescent="0.25">
      <c r="B79" s="63">
        <v>4.0000000000000001E-3</v>
      </c>
      <c r="C79" s="64">
        <v>1438672.4659957257</v>
      </c>
      <c r="D79" s="64">
        <v>1399759.1330017459</v>
      </c>
      <c r="E79" s="64">
        <v>1122280.4712411538</v>
      </c>
      <c r="F79" s="64">
        <v>614315.70303669502</v>
      </c>
      <c r="G79" s="65">
        <v>0</v>
      </c>
      <c r="H79" s="59"/>
      <c r="I79" s="59"/>
      <c r="J79" s="59"/>
      <c r="K79" s="59"/>
    </row>
    <row r="80" spans="1:13" x14ac:dyDescent="0.25">
      <c r="B80" s="63">
        <v>5.0000000000000001E-3</v>
      </c>
      <c r="C80" s="64">
        <v>1624934.5407377372</v>
      </c>
      <c r="D80" s="64">
        <v>1537589.8375837021</v>
      </c>
      <c r="E80" s="64">
        <v>1212768.3697790301</v>
      </c>
      <c r="F80" s="64">
        <v>658872.50650993595</v>
      </c>
      <c r="G80" s="65">
        <v>0</v>
      </c>
      <c r="H80" s="59"/>
      <c r="I80" s="59"/>
      <c r="J80" s="59"/>
      <c r="K80" s="59"/>
    </row>
    <row r="81" spans="2:11" x14ac:dyDescent="0.25">
      <c r="B81" s="63">
        <v>6.0000000000000001E-3</v>
      </c>
      <c r="C81" s="64">
        <v>1810555.8799602324</v>
      </c>
      <c r="D81" s="64">
        <v>1674875.4807554297</v>
      </c>
      <c r="E81" s="64">
        <v>1302851.691272547</v>
      </c>
      <c r="F81" s="64">
        <v>703207.16644187039</v>
      </c>
      <c r="G81" s="65">
        <v>0</v>
      </c>
      <c r="H81" s="59"/>
      <c r="I81" s="59"/>
      <c r="J81" s="59"/>
      <c r="K81" s="59"/>
    </row>
    <row r="82" spans="2:11" x14ac:dyDescent="0.25">
      <c r="B82" s="63">
        <v>8.0000000000000002E-3</v>
      </c>
      <c r="C82" s="64">
        <v>2179885.5066726534</v>
      </c>
      <c r="D82" s="64">
        <v>1947819.888284761</v>
      </c>
      <c r="E82" s="64">
        <v>1481811.2464537323</v>
      </c>
      <c r="F82" s="64">
        <v>791214.00046824454</v>
      </c>
      <c r="G82" s="65">
        <v>0</v>
      </c>
      <c r="H82" s="59"/>
      <c r="I82" s="59"/>
      <c r="J82" s="59"/>
      <c r="K82" s="59"/>
    </row>
    <row r="83" spans="2:11" x14ac:dyDescent="0.25">
      <c r="B83" s="63">
        <v>8.9999999999999993E-3</v>
      </c>
      <c r="C83" s="64">
        <v>2363598.3488026243</v>
      </c>
      <c r="D83" s="64">
        <v>2083482.7839735963</v>
      </c>
      <c r="E83" s="64">
        <v>1570690.783839169</v>
      </c>
      <c r="F83" s="64">
        <v>834888.13563220669</v>
      </c>
      <c r="G83" s="65">
        <v>0</v>
      </c>
      <c r="H83" s="59"/>
      <c r="I83" s="59"/>
      <c r="J83" s="59"/>
      <c r="K83" s="59"/>
    </row>
    <row r="84" spans="2:11" ht="13.8" thickBot="1" x14ac:dyDescent="0.3">
      <c r="B84" s="66">
        <v>0.01</v>
      </c>
      <c r="C84" s="67">
        <v>2546679.5647740723</v>
      </c>
      <c r="D84" s="67">
        <v>2218608.8809921313</v>
      </c>
      <c r="E84" s="67">
        <v>1659172.3516431716</v>
      </c>
      <c r="F84" s="67">
        <v>878344.04943842953</v>
      </c>
      <c r="G84" s="68">
        <v>0</v>
      </c>
      <c r="H84" s="59"/>
      <c r="I84" s="59"/>
      <c r="J84" s="59"/>
      <c r="K84" s="59"/>
    </row>
    <row r="85" spans="2:11" ht="13.8" thickBot="1" x14ac:dyDescent="0.3"/>
    <row r="86" spans="2:11" x14ac:dyDescent="0.25">
      <c r="B86" s="922" t="s">
        <v>103</v>
      </c>
      <c r="C86" s="923"/>
      <c r="D86" s="923"/>
      <c r="E86" s="923"/>
      <c r="F86" s="923"/>
      <c r="G86" s="924"/>
    </row>
    <row r="87" spans="2:11" x14ac:dyDescent="0.25">
      <c r="B87" s="60">
        <f>+C53</f>
        <v>134407.78560339729</v>
      </c>
      <c r="C87" s="61">
        <v>39083</v>
      </c>
      <c r="D87" s="61">
        <v>39264</v>
      </c>
      <c r="E87" s="61">
        <v>39448</v>
      </c>
      <c r="F87" s="61">
        <v>39630</v>
      </c>
      <c r="G87" s="62">
        <v>39814</v>
      </c>
    </row>
    <row r="88" spans="2:11" x14ac:dyDescent="0.25">
      <c r="B88" s="63">
        <v>1E-3</v>
      </c>
      <c r="C88" s="64">
        <f t="dataTable" ref="C88:G96" dt2D="1" dtr="1" r1="C51" r2="C52"/>
        <v>497670.2309885475</v>
      </c>
      <c r="D88" s="64">
        <v>702356.33700993634</v>
      </c>
      <c r="E88" s="64">
        <v>663713.6224917199</v>
      </c>
      <c r="F88" s="64">
        <v>388164.65543279081</v>
      </c>
      <c r="G88" s="65">
        <v>0</v>
      </c>
    </row>
    <row r="89" spans="2:11" x14ac:dyDescent="0.25">
      <c r="B89" s="63">
        <v>2E-3</v>
      </c>
      <c r="C89" s="64">
        <v>307515.11620196892</v>
      </c>
      <c r="D89" s="64">
        <v>561211.13089887402</v>
      </c>
      <c r="E89" s="64">
        <v>570762.93892839062</v>
      </c>
      <c r="F89" s="64">
        <v>342253.99976311781</v>
      </c>
      <c r="G89" s="65">
        <v>0</v>
      </c>
    </row>
    <row r="90" spans="2:11" x14ac:dyDescent="0.25">
      <c r="B90" s="63">
        <v>3.0000000000000001E-3</v>
      </c>
      <c r="C90" s="64">
        <v>116702.97002099082</v>
      </c>
      <c r="D90" s="64">
        <v>419506.07074685511</v>
      </c>
      <c r="E90" s="64">
        <v>477395.83542812895</v>
      </c>
      <c r="F90" s="64">
        <v>296114.16025822586</v>
      </c>
      <c r="G90" s="65">
        <v>0</v>
      </c>
    </row>
    <row r="91" spans="2:11" x14ac:dyDescent="0.25">
      <c r="B91" s="63">
        <v>4.0000000000000001E-3</v>
      </c>
      <c r="C91" s="64">
        <v>74768.573029607418</v>
      </c>
      <c r="D91" s="64">
        <v>277239.00810591655</v>
      </c>
      <c r="E91" s="64">
        <v>383610.59052319278</v>
      </c>
      <c r="F91" s="64">
        <v>249744.11246168485</v>
      </c>
      <c r="G91" s="65">
        <v>0</v>
      </c>
    </row>
    <row r="92" spans="2:11" x14ac:dyDescent="0.25">
      <c r="B92" s="63">
        <v>5.0000000000000001E-3</v>
      </c>
      <c r="C92" s="64">
        <v>266901.88792457618</v>
      </c>
      <c r="D92" s="64">
        <v>134407.78560339729</v>
      </c>
      <c r="E92" s="64">
        <v>289405.47523402958</v>
      </c>
      <c r="F92" s="64">
        <v>203142.82717232942</v>
      </c>
      <c r="G92" s="65">
        <v>0</v>
      </c>
    </row>
    <row r="93" spans="2:11" x14ac:dyDescent="0.25">
      <c r="B93" s="63">
        <v>6.0000000000000001E-3</v>
      </c>
      <c r="C93" s="64">
        <v>459699.35918080225</v>
      </c>
      <c r="D93" s="64">
        <v>8989.7630988836754</v>
      </c>
      <c r="E93" s="64">
        <v>194778.75303371646</v>
      </c>
      <c r="F93" s="64">
        <v>156309.27042071568</v>
      </c>
      <c r="G93" s="65">
        <v>0</v>
      </c>
    </row>
    <row r="94" spans="2:11" x14ac:dyDescent="0.25">
      <c r="B94" s="63">
        <v>8.0000000000000002E-3</v>
      </c>
      <c r="C94" s="64">
        <v>847296.3568123905</v>
      </c>
      <c r="D94" s="64">
        <v>297492.54952943372</v>
      </c>
      <c r="E94" s="64">
        <v>4253.5038404457737</v>
      </c>
      <c r="F94" s="64">
        <v>61941.182669400936</v>
      </c>
      <c r="G94" s="65">
        <v>0</v>
      </c>
    </row>
    <row r="95" spans="2:11" x14ac:dyDescent="0.25">
      <c r="B95" s="63">
        <v>8.9999999999999993E-3</v>
      </c>
      <c r="C95" s="64">
        <v>1042100.7003186569</v>
      </c>
      <c r="D95" s="64">
        <v>442602.16513195587</v>
      </c>
      <c r="E95" s="64">
        <v>91648.534265833441</v>
      </c>
      <c r="F95" s="64">
        <v>14404.559675758239</v>
      </c>
      <c r="G95" s="65">
        <v>0</v>
      </c>
    </row>
    <row r="96" spans="2:11" ht="13.8" thickBot="1" x14ac:dyDescent="0.3">
      <c r="B96" s="66">
        <v>0.01</v>
      </c>
      <c r="C96" s="67">
        <v>1237578.8345346986</v>
      </c>
      <c r="D96" s="67">
        <v>588286.86276583979</v>
      </c>
      <c r="E96" s="67">
        <v>187979.20158231957</v>
      </c>
      <c r="F96" s="67">
        <v>33368.518816002645</v>
      </c>
      <c r="G96" s="68">
        <v>0</v>
      </c>
    </row>
  </sheetData>
  <mergeCells count="7">
    <mergeCell ref="B86:G86"/>
    <mergeCell ref="B72:G72"/>
    <mergeCell ref="K1:L1"/>
    <mergeCell ref="A9:M9"/>
    <mergeCell ref="A26:M26"/>
    <mergeCell ref="A49:M49"/>
    <mergeCell ref="B74:G74"/>
  </mergeCells>
  <dataValidations count="1">
    <dataValidation type="list" allowBlank="1" showInputMessage="1" showErrorMessage="1" sqref="D4" xr:uid="{00000000-0002-0000-3100-000000000000}">
      <formula1>$A$1:$A$2</formula1>
    </dataValidation>
  </dataValidations>
  <printOptions horizontalCentered="1"/>
  <pageMargins left="0.7" right="0.7" top="0.75" bottom="0.75" header="0.3" footer="0.3"/>
  <pageSetup scale="33" orientation="landscape" horizontalDpi="300" verticalDpi="300" r:id="rId1"/>
  <headerFooter>
    <oddHeader>&amp;C&amp;"Arial,Bold"&amp;16Swap Pricing Example With Early Termination (Increasing/Decreasing Yield Curve)</oddHeader>
    <oddFooter>&amp;C&amp;Z&amp;F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Swapprice">
                <anchor moveWithCells="1" sizeWithCells="1">
                  <from>
                    <xdr:col>2</xdr:col>
                    <xdr:colOff>396240</xdr:colOff>
                    <xdr:row>5</xdr:row>
                    <xdr:rowOff>15240</xdr:rowOff>
                  </from>
                  <to>
                    <xdr:col>3</xdr:col>
                    <xdr:colOff>281940</xdr:colOff>
                    <xdr:row>7</xdr:row>
                    <xdr:rowOff>38100</xdr:rowOff>
                  </to>
                </anchor>
              </controlPr>
            </control>
          </mc:Choice>
        </mc:AlternateContent>
      </controls>
    </mc:Choice>
  </mc:AlternateConten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1">
    <tabColor rgb="FFFFFF00"/>
  </sheetPr>
  <dimension ref="A1:C17"/>
  <sheetViews>
    <sheetView workbookViewId="0">
      <selection activeCell="D30" sqref="D30"/>
    </sheetView>
  </sheetViews>
  <sheetFormatPr defaultColWidth="8.77734375" defaultRowHeight="13.2" x14ac:dyDescent="0.25"/>
  <cols>
    <col min="2" max="2" width="36" customWidth="1"/>
    <col min="3" max="3" width="38" customWidth="1"/>
  </cols>
  <sheetData>
    <row r="1" spans="1:3" x14ac:dyDescent="0.25">
      <c r="A1" s="56" t="s">
        <v>79</v>
      </c>
      <c r="B1" s="56" t="s">
        <v>80</v>
      </c>
      <c r="C1" s="56" t="s">
        <v>81</v>
      </c>
    </row>
    <row r="2" spans="1:3" ht="20.25" customHeight="1" x14ac:dyDescent="0.25">
      <c r="A2" s="72">
        <v>1</v>
      </c>
      <c r="B2" s="9"/>
      <c r="C2" s="1"/>
    </row>
    <row r="3" spans="1:3" ht="20.25" customHeight="1" x14ac:dyDescent="0.25">
      <c r="A3" s="72">
        <v>2</v>
      </c>
      <c r="B3" s="9"/>
      <c r="C3" s="1"/>
    </row>
    <row r="4" spans="1:3" ht="20.25" customHeight="1" x14ac:dyDescent="0.25">
      <c r="A4" s="72">
        <v>3</v>
      </c>
      <c r="B4" s="9"/>
      <c r="C4" s="1"/>
    </row>
    <row r="5" spans="1:3" ht="20.25" customHeight="1" x14ac:dyDescent="0.25">
      <c r="A5" s="72">
        <v>4</v>
      </c>
      <c r="B5" s="9"/>
      <c r="C5" s="1"/>
    </row>
    <row r="6" spans="1:3" ht="20.25" customHeight="1" x14ac:dyDescent="0.25">
      <c r="A6" s="72">
        <v>5</v>
      </c>
      <c r="B6" s="9"/>
      <c r="C6" s="1"/>
    </row>
    <row r="7" spans="1:3" ht="20.25" customHeight="1" x14ac:dyDescent="0.25">
      <c r="A7" s="72">
        <v>6</v>
      </c>
      <c r="B7" s="9"/>
    </row>
    <row r="8" spans="1:3" ht="20.25" customHeight="1" x14ac:dyDescent="0.25">
      <c r="A8" s="72">
        <v>7</v>
      </c>
      <c r="B8" s="9"/>
    </row>
    <row r="9" spans="1:3" ht="20.25" customHeight="1" x14ac:dyDescent="0.25">
      <c r="A9" s="72">
        <v>8</v>
      </c>
      <c r="B9" s="9"/>
    </row>
    <row r="10" spans="1:3" ht="20.25" customHeight="1" x14ac:dyDescent="0.25">
      <c r="A10" s="57"/>
    </row>
    <row r="11" spans="1:3" x14ac:dyDescent="0.25">
      <c r="A11" s="57"/>
    </row>
    <row r="12" spans="1:3" x14ac:dyDescent="0.25">
      <c r="A12" s="57"/>
    </row>
    <row r="13" spans="1:3" x14ac:dyDescent="0.25">
      <c r="A13" s="57"/>
    </row>
    <row r="14" spans="1:3" x14ac:dyDescent="0.25">
      <c r="A14" s="57"/>
    </row>
    <row r="15" spans="1:3" x14ac:dyDescent="0.25">
      <c r="A15" s="57"/>
    </row>
    <row r="16" spans="1:3" x14ac:dyDescent="0.25">
      <c r="A16" s="57"/>
    </row>
    <row r="17" spans="1:1" x14ac:dyDescent="0.25">
      <c r="A17" s="57"/>
    </row>
  </sheetData>
  <pageMargins left="0.7" right="0.7" top="0.75" bottom="0.75" header="0.3" footer="0.3"/>
  <pageSetup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29"/>
  <dimension ref="A1:I57"/>
  <sheetViews>
    <sheetView workbookViewId="0">
      <selection activeCell="D30" sqref="D30"/>
    </sheetView>
  </sheetViews>
  <sheetFormatPr defaultColWidth="8.77734375" defaultRowHeight="13.2" x14ac:dyDescent="0.25"/>
  <sheetData>
    <row r="1" spans="1:9" ht="25.05" customHeight="1" x14ac:dyDescent="0.25">
      <c r="A1" s="332" t="s">
        <v>240</v>
      </c>
      <c r="B1" s="331"/>
      <c r="C1" s="331"/>
      <c r="D1" s="331"/>
      <c r="E1" s="331"/>
      <c r="F1" s="331"/>
      <c r="G1" s="1"/>
      <c r="H1" s="1"/>
      <c r="I1" s="1"/>
    </row>
    <row r="2" spans="1:9" ht="25.05" customHeight="1" x14ac:dyDescent="0.25">
      <c r="A2" s="333" t="s">
        <v>241</v>
      </c>
      <c r="B2" s="331"/>
      <c r="C2" s="331"/>
      <c r="D2" s="331"/>
      <c r="E2" s="331"/>
      <c r="F2" s="331"/>
      <c r="G2" s="1"/>
      <c r="H2" s="1"/>
      <c r="I2" s="1"/>
    </row>
    <row r="3" spans="1:9" ht="25.05" customHeight="1" x14ac:dyDescent="0.25">
      <c r="A3" s="334" t="s">
        <v>242</v>
      </c>
      <c r="B3" s="331"/>
      <c r="C3" s="331"/>
      <c r="D3" s="331"/>
      <c r="E3" s="331"/>
      <c r="F3" s="331"/>
      <c r="G3" s="1"/>
      <c r="H3" s="1"/>
      <c r="I3" s="1"/>
    </row>
    <row r="4" spans="1:9" ht="25.05" customHeight="1" x14ac:dyDescent="0.25">
      <c r="A4" s="334" t="s">
        <v>243</v>
      </c>
      <c r="B4" s="331"/>
      <c r="C4" s="331"/>
      <c r="D4" s="331"/>
      <c r="E4" s="331"/>
      <c r="F4" s="331"/>
      <c r="G4" s="1"/>
      <c r="H4" s="1"/>
      <c r="I4" s="1"/>
    </row>
    <row r="5" spans="1:9" ht="25.05" customHeight="1" x14ac:dyDescent="0.25">
      <c r="A5" s="335" t="s">
        <v>244</v>
      </c>
      <c r="B5" s="331"/>
      <c r="C5" s="331"/>
      <c r="D5" s="331"/>
      <c r="E5" s="331"/>
      <c r="F5" s="331"/>
      <c r="G5" s="1"/>
      <c r="H5" s="1"/>
      <c r="I5" s="1"/>
    </row>
    <row r="6" spans="1:9" ht="25.05" customHeight="1" x14ac:dyDescent="0.25">
      <c r="A6" s="335" t="s">
        <v>245</v>
      </c>
      <c r="B6" s="331"/>
      <c r="C6" s="331"/>
      <c r="D6" s="331"/>
      <c r="E6" s="331"/>
      <c r="F6" s="331"/>
      <c r="G6" s="1"/>
      <c r="H6" s="1"/>
      <c r="I6" s="1"/>
    </row>
    <row r="7" spans="1:9" ht="25.05" customHeight="1" x14ac:dyDescent="0.25">
      <c r="A7" s="334" t="s">
        <v>246</v>
      </c>
      <c r="B7" s="331"/>
      <c r="C7" s="331"/>
      <c r="D7" s="331"/>
      <c r="E7" s="331"/>
      <c r="F7" s="331"/>
      <c r="G7" s="1"/>
      <c r="H7" s="1"/>
      <c r="I7" s="1"/>
    </row>
    <row r="8" spans="1:9" ht="25.05" customHeight="1" x14ac:dyDescent="0.25">
      <c r="A8" s="334" t="s">
        <v>247</v>
      </c>
      <c r="B8" s="1"/>
      <c r="C8" s="1"/>
      <c r="D8" s="1"/>
      <c r="E8" s="1"/>
      <c r="F8" s="1"/>
      <c r="G8" s="1"/>
      <c r="H8" s="1"/>
      <c r="I8" s="1"/>
    </row>
    <row r="9" spans="1:9" ht="25.05" customHeight="1" x14ac:dyDescent="0.25">
      <c r="A9" s="335" t="s">
        <v>248</v>
      </c>
      <c r="B9" s="1"/>
      <c r="C9" s="1"/>
      <c r="D9" s="1"/>
      <c r="E9" s="1"/>
      <c r="F9" s="1"/>
      <c r="G9" s="1"/>
      <c r="H9" s="1"/>
      <c r="I9" s="1"/>
    </row>
    <row r="10" spans="1:9" ht="25.05" customHeight="1" x14ac:dyDescent="0.25">
      <c r="A10" s="335" t="s">
        <v>249</v>
      </c>
      <c r="B10" s="1"/>
      <c r="C10" s="1"/>
      <c r="D10" s="1"/>
      <c r="E10" s="1"/>
      <c r="F10" s="1"/>
      <c r="G10" s="1"/>
      <c r="H10" s="1"/>
      <c r="I10" s="1"/>
    </row>
    <row r="11" spans="1:9" ht="25.05" customHeight="1" x14ac:dyDescent="0.25">
      <c r="A11" s="336"/>
      <c r="B11" s="1"/>
      <c r="C11" s="1"/>
      <c r="D11" s="1"/>
      <c r="E11" s="1"/>
      <c r="F11" s="1"/>
      <c r="G11" s="1"/>
      <c r="H11" s="1"/>
      <c r="I11" s="1"/>
    </row>
    <row r="12" spans="1:9" ht="25.05" customHeight="1" x14ac:dyDescent="0.25">
      <c r="A12" s="337" t="s">
        <v>250</v>
      </c>
      <c r="B12" s="1"/>
      <c r="C12" s="1"/>
      <c r="D12" s="1"/>
      <c r="E12" s="1"/>
      <c r="F12" s="1"/>
      <c r="G12" s="1"/>
      <c r="H12" s="1"/>
      <c r="I12" s="1"/>
    </row>
    <row r="13" spans="1:9" ht="25.05" customHeight="1" x14ac:dyDescent="0.25">
      <c r="A13" s="338" t="s">
        <v>251</v>
      </c>
      <c r="B13" s="1"/>
      <c r="C13" s="1"/>
      <c r="D13" s="1"/>
      <c r="E13" s="1"/>
      <c r="F13" s="1"/>
      <c r="G13" s="1"/>
      <c r="H13" s="1"/>
      <c r="I13" s="1"/>
    </row>
    <row r="14" spans="1:9" ht="25.05" customHeight="1" x14ac:dyDescent="0.25">
      <c r="A14" s="338" t="s">
        <v>252</v>
      </c>
    </row>
    <row r="15" spans="1:9" ht="25.05" customHeight="1" x14ac:dyDescent="0.25">
      <c r="A15" s="335" t="s">
        <v>253</v>
      </c>
    </row>
    <row r="16" spans="1:9" ht="25.05" customHeight="1" x14ac:dyDescent="0.25">
      <c r="A16" s="339" t="s">
        <v>254</v>
      </c>
    </row>
    <row r="17" spans="1:1" ht="25.05" customHeight="1" x14ac:dyDescent="0.25">
      <c r="A17" s="334" t="s">
        <v>255</v>
      </c>
    </row>
    <row r="18" spans="1:1" ht="25.05" customHeight="1" x14ac:dyDescent="0.25">
      <c r="A18" s="340"/>
    </row>
    <row r="19" spans="1:1" ht="25.05" customHeight="1" x14ac:dyDescent="0.25">
      <c r="A19" s="334" t="s">
        <v>256</v>
      </c>
    </row>
    <row r="20" spans="1:1" ht="25.05" customHeight="1" x14ac:dyDescent="0.25">
      <c r="A20" s="335" t="s">
        <v>257</v>
      </c>
    </row>
    <row r="21" spans="1:1" ht="25.05" customHeight="1" x14ac:dyDescent="0.25">
      <c r="A21" s="339" t="s">
        <v>258</v>
      </c>
    </row>
    <row r="22" spans="1:1" ht="25.05" customHeight="1" x14ac:dyDescent="0.25">
      <c r="A22" s="339" t="s">
        <v>259</v>
      </c>
    </row>
    <row r="23" spans="1:1" ht="25.05" customHeight="1" x14ac:dyDescent="0.25">
      <c r="A23" s="339" t="s">
        <v>260</v>
      </c>
    </row>
    <row r="24" spans="1:1" ht="25.05" customHeight="1" x14ac:dyDescent="0.25">
      <c r="A24" s="339" t="s">
        <v>261</v>
      </c>
    </row>
    <row r="25" spans="1:1" ht="25.05" customHeight="1" x14ac:dyDescent="0.25">
      <c r="A25" s="334" t="s">
        <v>262</v>
      </c>
    </row>
    <row r="26" spans="1:1" ht="25.05" customHeight="1" x14ac:dyDescent="0.25">
      <c r="A26" s="335" t="s">
        <v>263</v>
      </c>
    </row>
    <row r="27" spans="1:1" ht="25.05" customHeight="1" x14ac:dyDescent="0.25">
      <c r="A27" s="335" t="s">
        <v>264</v>
      </c>
    </row>
    <row r="28" spans="1:1" ht="25.05" customHeight="1" x14ac:dyDescent="0.25">
      <c r="A28" s="333" t="s">
        <v>265</v>
      </c>
    </row>
    <row r="29" spans="1:1" ht="25.05" customHeight="1" x14ac:dyDescent="0.25">
      <c r="A29" s="334" t="s">
        <v>266</v>
      </c>
    </row>
    <row r="30" spans="1:1" ht="25.05" customHeight="1" x14ac:dyDescent="0.25">
      <c r="A30" s="334" t="s">
        <v>267</v>
      </c>
    </row>
    <row r="31" spans="1:1" ht="25.05" customHeight="1" x14ac:dyDescent="0.25">
      <c r="A31" s="335" t="s">
        <v>268</v>
      </c>
    </row>
    <row r="32" spans="1:1" ht="25.05" customHeight="1" x14ac:dyDescent="0.25">
      <c r="A32" s="335" t="s">
        <v>269</v>
      </c>
    </row>
    <row r="33" spans="1:1" ht="25.05" customHeight="1" x14ac:dyDescent="0.25">
      <c r="A33" s="335" t="s">
        <v>270</v>
      </c>
    </row>
    <row r="34" spans="1:1" ht="25.05" customHeight="1" x14ac:dyDescent="0.25">
      <c r="A34" s="335" t="s">
        <v>271</v>
      </c>
    </row>
    <row r="35" spans="1:1" ht="25.05" customHeight="1" x14ac:dyDescent="0.25">
      <c r="A35" s="335" t="s">
        <v>272</v>
      </c>
    </row>
    <row r="36" spans="1:1" ht="25.05" customHeight="1" x14ac:dyDescent="0.25">
      <c r="A36" s="334" t="s">
        <v>273</v>
      </c>
    </row>
    <row r="37" spans="1:1" ht="25.05" customHeight="1" x14ac:dyDescent="0.25">
      <c r="A37" s="335" t="s">
        <v>274</v>
      </c>
    </row>
    <row r="38" spans="1:1" ht="25.05" customHeight="1" x14ac:dyDescent="0.25">
      <c r="A38" s="335" t="s">
        <v>275</v>
      </c>
    </row>
    <row r="39" spans="1:1" ht="25.05" customHeight="1" x14ac:dyDescent="0.25">
      <c r="A39" s="335" t="s">
        <v>276</v>
      </c>
    </row>
    <row r="40" spans="1:1" ht="25.05" customHeight="1" x14ac:dyDescent="0.25">
      <c r="A40" s="335" t="s">
        <v>277</v>
      </c>
    </row>
    <row r="41" spans="1:1" ht="25.05" customHeight="1" x14ac:dyDescent="0.25">
      <c r="A41" s="335" t="s">
        <v>278</v>
      </c>
    </row>
    <row r="42" spans="1:1" ht="25.05" customHeight="1" x14ac:dyDescent="0.25">
      <c r="A42" s="335" t="s">
        <v>279</v>
      </c>
    </row>
    <row r="43" spans="1:1" ht="25.05" customHeight="1" x14ac:dyDescent="0.25">
      <c r="A43" s="339" t="s">
        <v>280</v>
      </c>
    </row>
    <row r="44" spans="1:1" ht="25.05" customHeight="1" x14ac:dyDescent="0.25">
      <c r="A44" s="339" t="s">
        <v>281</v>
      </c>
    </row>
    <row r="45" spans="1:1" ht="25.05" customHeight="1" x14ac:dyDescent="0.25">
      <c r="A45" s="341" t="s">
        <v>282</v>
      </c>
    </row>
    <row r="46" spans="1:1" ht="25.05" customHeight="1" x14ac:dyDescent="0.25">
      <c r="A46" s="334" t="s">
        <v>283</v>
      </c>
    </row>
    <row r="47" spans="1:1" ht="25.05" customHeight="1" x14ac:dyDescent="0.25">
      <c r="A47" s="335" t="s">
        <v>284</v>
      </c>
    </row>
    <row r="48" spans="1:1" ht="25.05" customHeight="1" x14ac:dyDescent="0.25">
      <c r="A48" s="335" t="s">
        <v>285</v>
      </c>
    </row>
    <row r="49" spans="1:1" ht="25.05" customHeight="1" x14ac:dyDescent="0.25">
      <c r="A49" s="335" t="s">
        <v>286</v>
      </c>
    </row>
    <row r="50" spans="1:1" ht="25.05" customHeight="1" x14ac:dyDescent="0.25">
      <c r="A50" s="335" t="s">
        <v>287</v>
      </c>
    </row>
    <row r="51" spans="1:1" ht="25.05" customHeight="1" x14ac:dyDescent="0.25">
      <c r="A51" s="335" t="s">
        <v>288</v>
      </c>
    </row>
    <row r="52" spans="1:1" ht="25.05" customHeight="1" x14ac:dyDescent="0.25">
      <c r="A52" s="335" t="s">
        <v>289</v>
      </c>
    </row>
    <row r="53" spans="1:1" ht="25.05" customHeight="1" x14ac:dyDescent="0.25">
      <c r="A53" s="334" t="s">
        <v>290</v>
      </c>
    </row>
    <row r="54" spans="1:1" ht="25.05" customHeight="1" x14ac:dyDescent="0.25">
      <c r="A54" s="333" t="s">
        <v>291</v>
      </c>
    </row>
    <row r="55" spans="1:1" ht="25.05" customHeight="1" x14ac:dyDescent="0.25">
      <c r="A55" s="342" t="s">
        <v>292</v>
      </c>
    </row>
    <row r="56" spans="1:1" ht="25.05" customHeight="1" x14ac:dyDescent="0.25">
      <c r="A56" s="342" t="s">
        <v>293</v>
      </c>
    </row>
    <row r="57" spans="1:1" ht="25.05" customHeight="1" x14ac:dyDescent="0.25">
      <c r="A57" s="342" t="s">
        <v>294</v>
      </c>
    </row>
  </sheetData>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
  <sheetViews>
    <sheetView workbookViewId="0">
      <selection activeCell="D30" sqref="D30"/>
    </sheetView>
  </sheetViews>
  <sheetFormatPr defaultColWidth="8.77734375" defaultRowHeight="13.2" x14ac:dyDescent="0.2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tabColor rgb="FF0000FF"/>
    <pageSetUpPr fitToPage="1"/>
  </sheetPr>
  <dimension ref="A1:ZZ171"/>
  <sheetViews>
    <sheetView topLeftCell="A31" zoomScale="70" zoomScaleNormal="70" zoomScaleSheetLayoutView="50" zoomScalePageLayoutView="70" workbookViewId="0"/>
  </sheetViews>
  <sheetFormatPr defaultColWidth="20.44140625" defaultRowHeight="15" x14ac:dyDescent="0.25"/>
  <cols>
    <col min="1" max="1" width="32.44140625" style="77" customWidth="1"/>
    <col min="2" max="2" width="31.109375" style="77" customWidth="1"/>
    <col min="3" max="3" width="25.109375" style="77" customWidth="1"/>
    <col min="4" max="4" width="27.44140625" style="77" customWidth="1"/>
    <col min="5" max="5" width="28.6640625" style="77" customWidth="1"/>
    <col min="6" max="6" width="31.109375" style="77" customWidth="1"/>
    <col min="7" max="7" width="25.109375" style="77" customWidth="1"/>
    <col min="8" max="8" width="27.44140625" style="77" customWidth="1"/>
    <col min="9" max="9" width="21.44140625" style="77" customWidth="1"/>
    <col min="10" max="10" width="31.109375" style="77" customWidth="1"/>
    <col min="11" max="11" width="30.44140625" style="77" customWidth="1"/>
    <col min="12" max="12" width="36.6640625" style="77" customWidth="1"/>
    <col min="13" max="13" width="20.33203125" style="77" customWidth="1"/>
    <col min="14" max="94" width="20.44140625" style="77"/>
    <col min="95" max="95" width="20.44140625" style="441"/>
    <col min="96" max="99" width="20.44140625" style="77"/>
    <col min="100" max="100" width="20.44140625" style="441"/>
    <col min="101" max="16384" width="20.44140625" style="77"/>
  </cols>
  <sheetData>
    <row r="1" spans="1:702" ht="70.5" customHeight="1" thickBot="1" x14ac:dyDescent="0.3">
      <c r="A1" s="556"/>
      <c r="B1" s="870" t="s">
        <v>410</v>
      </c>
      <c r="C1" s="870"/>
      <c r="D1" s="581"/>
      <c r="E1" s="581"/>
      <c r="F1" s="870" t="s">
        <v>411</v>
      </c>
      <c r="G1" s="870"/>
      <c r="H1" s="581"/>
      <c r="I1" s="581"/>
      <c r="J1" s="870" t="s">
        <v>412</v>
      </c>
      <c r="K1" s="870"/>
      <c r="L1" s="870"/>
      <c r="M1" s="581"/>
      <c r="BQ1" s="369">
        <v>41102</v>
      </c>
      <c r="ZZ1" s="369">
        <v>41621</v>
      </c>
    </row>
    <row r="2" spans="1:702" ht="12.75" customHeight="1" thickTop="1" x14ac:dyDescent="0.25">
      <c r="A2" s="330"/>
      <c r="B2" s="169"/>
      <c r="C2" s="169"/>
      <c r="D2" s="169"/>
      <c r="E2" s="169"/>
      <c r="F2" s="169"/>
      <c r="G2" s="169"/>
      <c r="H2" s="169"/>
      <c r="I2" s="169"/>
      <c r="J2" s="169"/>
      <c r="K2" s="169"/>
      <c r="L2" s="169"/>
      <c r="M2" s="169"/>
      <c r="O2" s="76"/>
      <c r="P2" s="76"/>
    </row>
    <row r="3" spans="1:702" ht="12.75" customHeight="1" x14ac:dyDescent="0.25">
      <c r="A3" s="169"/>
      <c r="B3" s="346">
        <v>41072</v>
      </c>
      <c r="C3" s="346">
        <v>41072</v>
      </c>
      <c r="D3" s="346">
        <v>41072</v>
      </c>
      <c r="E3" s="346">
        <v>41072</v>
      </c>
      <c r="F3" s="169"/>
      <c r="G3" s="169"/>
      <c r="H3" s="169"/>
      <c r="I3" s="169"/>
      <c r="J3" s="169"/>
      <c r="K3" s="169"/>
      <c r="L3" s="169"/>
      <c r="M3" s="169"/>
      <c r="O3" s="76"/>
      <c r="P3" s="76"/>
    </row>
    <row r="4" spans="1:702" ht="12.75" customHeight="1" x14ac:dyDescent="0.25">
      <c r="A4" s="169"/>
      <c r="B4" s="169" t="s">
        <v>49</v>
      </c>
      <c r="C4" s="169"/>
      <c r="D4" s="169"/>
      <c r="E4" s="169"/>
      <c r="F4" s="169"/>
      <c r="G4" s="169"/>
      <c r="H4" s="169"/>
      <c r="I4" s="169"/>
      <c r="J4" s="169"/>
      <c r="K4" s="169"/>
      <c r="L4" s="169"/>
      <c r="M4" s="169"/>
      <c r="O4" s="76"/>
      <c r="P4" s="76"/>
    </row>
    <row r="5" spans="1:702" ht="12.75" customHeight="1" x14ac:dyDescent="0.25">
      <c r="A5" s="169"/>
      <c r="B5" s="169" t="e">
        <v>#N/A</v>
      </c>
      <c r="C5" s="169"/>
      <c r="D5" s="169"/>
      <c r="E5" s="169"/>
      <c r="F5" s="169"/>
      <c r="G5" s="169"/>
      <c r="H5" s="169"/>
      <c r="I5" s="169"/>
      <c r="J5" s="169"/>
      <c r="K5" s="169"/>
      <c r="L5" s="169"/>
      <c r="M5" s="169"/>
      <c r="O5" s="76"/>
      <c r="P5" s="76"/>
    </row>
    <row r="6" spans="1:702" ht="12.75" customHeight="1" x14ac:dyDescent="0.25">
      <c r="A6" s="169"/>
      <c r="B6" s="169"/>
      <c r="C6" s="169"/>
      <c r="D6" s="169"/>
      <c r="E6" s="169"/>
      <c r="F6" s="169"/>
      <c r="G6" s="169"/>
      <c r="H6" s="169"/>
      <c r="I6" s="169"/>
      <c r="J6" s="169"/>
      <c r="K6" s="169"/>
      <c r="L6" s="169"/>
      <c r="M6" s="169"/>
      <c r="O6" s="76"/>
      <c r="P6" s="76"/>
    </row>
    <row r="7" spans="1:702" ht="12.75" customHeight="1" x14ac:dyDescent="0.25">
      <c r="A7" s="169"/>
      <c r="B7" s="169"/>
      <c r="C7" s="169"/>
      <c r="D7" s="169"/>
      <c r="E7" s="169"/>
      <c r="F7" s="169"/>
      <c r="G7" s="169"/>
      <c r="H7" s="169"/>
      <c r="I7" s="169"/>
      <c r="J7" s="169"/>
      <c r="K7" s="169"/>
      <c r="L7" s="169"/>
      <c r="M7" s="169"/>
      <c r="O7" s="76"/>
      <c r="P7" s="76"/>
    </row>
    <row r="8" spans="1:702" ht="12.75" customHeight="1" x14ac:dyDescent="0.25">
      <c r="A8" s="169"/>
      <c r="B8" s="169"/>
      <c r="C8" s="169"/>
      <c r="D8" s="169"/>
      <c r="E8" s="169"/>
      <c r="F8" s="169"/>
      <c r="G8" s="169"/>
      <c r="H8" s="169"/>
      <c r="I8" s="169"/>
      <c r="J8" s="169"/>
      <c r="K8" s="169"/>
      <c r="L8" s="169"/>
      <c r="M8" s="169"/>
      <c r="O8" s="76"/>
      <c r="P8" s="76"/>
    </row>
    <row r="9" spans="1:702" ht="12.75" customHeight="1" x14ac:dyDescent="0.25">
      <c r="A9" s="169"/>
      <c r="B9" s="169"/>
      <c r="C9" s="169"/>
      <c r="D9" s="169"/>
      <c r="E9" s="169"/>
      <c r="F9" s="169"/>
      <c r="G9" s="169"/>
      <c r="H9" s="169"/>
      <c r="I9" s="169"/>
      <c r="J9" s="169"/>
      <c r="K9" s="169"/>
      <c r="L9" s="169"/>
      <c r="M9" s="169"/>
      <c r="O9" s="76"/>
      <c r="P9" s="76"/>
    </row>
    <row r="10" spans="1:702" ht="12.75" customHeight="1" x14ac:dyDescent="0.25">
      <c r="A10" s="169"/>
      <c r="B10" s="169"/>
      <c r="C10" s="169"/>
      <c r="D10" s="169"/>
      <c r="E10" s="169"/>
      <c r="F10" s="169"/>
      <c r="G10" s="169"/>
      <c r="H10" s="169"/>
      <c r="I10" s="169"/>
      <c r="J10" s="169"/>
      <c r="K10" s="169"/>
      <c r="L10" s="169"/>
      <c r="M10" s="169"/>
      <c r="O10" s="76"/>
      <c r="P10" s="76"/>
    </row>
    <row r="11" spans="1:702" ht="12.75" customHeight="1" x14ac:dyDescent="0.25">
      <c r="A11" s="169"/>
      <c r="B11" s="169"/>
      <c r="C11" s="169"/>
      <c r="D11" s="169"/>
      <c r="E11" s="169"/>
      <c r="F11" s="169"/>
      <c r="G11" s="169"/>
      <c r="H11" s="169"/>
      <c r="I11" s="169"/>
      <c r="J11" s="169"/>
      <c r="K11" s="169"/>
      <c r="L11" s="169"/>
      <c r="M11" s="169"/>
      <c r="O11" s="76"/>
      <c r="P11" s="76"/>
    </row>
    <row r="12" spans="1:702" ht="12.75" customHeight="1" x14ac:dyDescent="0.25">
      <c r="A12" s="169"/>
      <c r="B12" s="169"/>
      <c r="C12" s="169"/>
      <c r="D12" s="169"/>
      <c r="E12" s="169"/>
      <c r="F12" s="169"/>
      <c r="G12" s="169"/>
      <c r="H12" s="169"/>
      <c r="I12" s="169"/>
      <c r="J12" s="169"/>
      <c r="K12" s="169"/>
      <c r="L12" s="169"/>
      <c r="M12" s="169"/>
      <c r="O12" s="76"/>
      <c r="P12" s="76"/>
    </row>
    <row r="13" spans="1:702" ht="12.75" customHeight="1" x14ac:dyDescent="0.25">
      <c r="A13" s="169"/>
      <c r="B13" s="169"/>
      <c r="C13" s="169"/>
      <c r="D13" s="169"/>
      <c r="E13" s="169"/>
      <c r="F13" s="169"/>
      <c r="G13" s="169"/>
      <c r="H13" s="169"/>
      <c r="I13" s="169"/>
      <c r="J13" s="169"/>
      <c r="K13" s="169"/>
      <c r="L13" s="169"/>
      <c r="M13" s="169"/>
      <c r="O13" s="76"/>
      <c r="P13" s="76"/>
    </row>
    <row r="14" spans="1:702" ht="12.75" customHeight="1" x14ac:dyDescent="0.25">
      <c r="A14" s="169"/>
      <c r="B14" s="169"/>
      <c r="C14" s="169"/>
      <c r="D14" s="169"/>
      <c r="E14" s="169"/>
      <c r="F14" s="169"/>
      <c r="G14" s="169"/>
      <c r="H14" s="169"/>
      <c r="I14" s="169"/>
      <c r="J14" s="169"/>
      <c r="K14" s="169"/>
      <c r="L14" s="169"/>
      <c r="M14" s="169"/>
      <c r="O14" s="76"/>
      <c r="P14" s="76"/>
    </row>
    <row r="15" spans="1:702" ht="12.75" customHeight="1" x14ac:dyDescent="0.25">
      <c r="A15" s="169"/>
      <c r="B15" s="169"/>
      <c r="C15" s="169"/>
      <c r="D15" s="169"/>
      <c r="E15" s="169"/>
      <c r="F15" s="169"/>
      <c r="G15" s="169"/>
      <c r="H15" s="169"/>
      <c r="I15" s="169"/>
      <c r="J15" s="169"/>
      <c r="K15" s="169"/>
      <c r="L15" s="169"/>
      <c r="M15" s="169"/>
      <c r="O15" s="76"/>
      <c r="P15" s="76"/>
    </row>
    <row r="16" spans="1:702" ht="12.75" customHeight="1" x14ac:dyDescent="0.25">
      <c r="A16" s="169"/>
      <c r="B16" s="169"/>
      <c r="C16" s="169"/>
      <c r="D16" s="169"/>
      <c r="E16" s="169"/>
      <c r="F16" s="169"/>
      <c r="G16" s="169"/>
      <c r="H16" s="169"/>
      <c r="I16" s="169"/>
      <c r="J16" s="169"/>
      <c r="K16" s="169"/>
      <c r="L16" s="169"/>
      <c r="M16" s="169"/>
      <c r="O16" s="76"/>
      <c r="P16" s="76"/>
    </row>
    <row r="17" spans="1:16" ht="12.75" customHeight="1" x14ac:dyDescent="0.25">
      <c r="A17" s="169"/>
      <c r="B17" s="169"/>
      <c r="C17" s="169"/>
      <c r="D17" s="169"/>
      <c r="E17" s="169"/>
      <c r="F17" s="169"/>
      <c r="G17" s="169"/>
      <c r="H17" s="169"/>
      <c r="I17" s="169"/>
      <c r="J17" s="169"/>
      <c r="K17" s="169"/>
      <c r="L17" s="169"/>
      <c r="M17" s="169"/>
      <c r="O17" s="76"/>
      <c r="P17" s="76"/>
    </row>
    <row r="18" spans="1:16" ht="12.75" customHeight="1" x14ac:dyDescent="0.25">
      <c r="A18" s="169"/>
      <c r="B18" s="169"/>
      <c r="C18" s="169"/>
      <c r="D18" s="169"/>
      <c r="E18" s="169"/>
      <c r="F18" s="169"/>
      <c r="G18" s="169"/>
      <c r="H18" s="169"/>
      <c r="I18" s="169"/>
      <c r="J18" s="169"/>
      <c r="K18" s="169"/>
      <c r="L18" s="169"/>
      <c r="M18" s="169"/>
      <c r="O18" s="76"/>
      <c r="P18" s="76"/>
    </row>
    <row r="19" spans="1:16" ht="12.75" customHeight="1" x14ac:dyDescent="0.25">
      <c r="A19" s="169"/>
      <c r="B19" s="169"/>
      <c r="C19" s="169"/>
      <c r="D19" s="169"/>
      <c r="E19" s="169"/>
      <c r="F19" s="169"/>
      <c r="G19" s="169"/>
      <c r="H19" s="169"/>
      <c r="I19" s="169"/>
      <c r="J19" s="169"/>
      <c r="K19" s="169"/>
      <c r="L19" s="169"/>
      <c r="M19" s="169"/>
      <c r="O19" s="76"/>
      <c r="P19" s="76"/>
    </row>
    <row r="20" spans="1:16" ht="12.75" customHeight="1" x14ac:dyDescent="0.25">
      <c r="A20" s="169"/>
      <c r="B20" s="169"/>
      <c r="C20" s="169"/>
      <c r="D20" s="169"/>
      <c r="E20" s="169"/>
      <c r="F20" s="169"/>
      <c r="G20" s="169"/>
      <c r="H20" s="169"/>
      <c r="I20" s="169"/>
      <c r="J20" s="169"/>
      <c r="K20" s="169"/>
      <c r="L20" s="169"/>
      <c r="M20" s="169"/>
      <c r="O20" s="76"/>
      <c r="P20" s="76"/>
    </row>
    <row r="21" spans="1:16" ht="12.75" customHeight="1" x14ac:dyDescent="0.25">
      <c r="A21" s="169"/>
      <c r="B21" s="169"/>
      <c r="C21" s="169"/>
      <c r="D21" s="169"/>
      <c r="E21" s="169"/>
      <c r="F21" s="169"/>
      <c r="G21" s="169"/>
      <c r="H21" s="169"/>
      <c r="I21" s="169"/>
      <c r="J21" s="169"/>
      <c r="K21" s="169"/>
      <c r="L21" s="169"/>
      <c r="M21" s="169"/>
      <c r="O21" s="76"/>
      <c r="P21" s="76"/>
    </row>
    <row r="22" spans="1:16" ht="12.75" customHeight="1" x14ac:dyDescent="0.25">
      <c r="A22" s="169"/>
      <c r="B22" s="169"/>
      <c r="C22" s="169"/>
      <c r="D22" s="169"/>
      <c r="E22" s="169"/>
      <c r="F22" s="169"/>
      <c r="G22" s="169"/>
      <c r="H22" s="169"/>
      <c r="I22" s="169"/>
      <c r="J22" s="169"/>
      <c r="K22" s="169"/>
      <c r="L22" s="169"/>
      <c r="M22" s="169"/>
      <c r="O22" s="76"/>
      <c r="P22" s="76"/>
    </row>
    <row r="23" spans="1:16" ht="12.75" customHeight="1" x14ac:dyDescent="0.25">
      <c r="A23" s="169"/>
      <c r="B23" s="169"/>
      <c r="C23" s="169"/>
      <c r="D23" s="169"/>
      <c r="E23" s="169"/>
      <c r="F23" s="169"/>
      <c r="G23" s="169"/>
      <c r="H23" s="169"/>
      <c r="I23" s="169"/>
      <c r="J23" s="169"/>
      <c r="K23" s="169"/>
      <c r="L23" s="169"/>
      <c r="M23" s="169"/>
      <c r="O23" s="76"/>
      <c r="P23" s="76"/>
    </row>
    <row r="24" spans="1:16" ht="12.75" customHeight="1" x14ac:dyDescent="0.25">
      <c r="A24" s="169"/>
      <c r="B24" s="169"/>
      <c r="C24" s="169"/>
      <c r="D24" s="169"/>
      <c r="E24" s="169"/>
      <c r="F24" s="169"/>
      <c r="G24" s="169"/>
      <c r="H24" s="169"/>
      <c r="I24" s="169"/>
      <c r="J24" s="169"/>
      <c r="K24" s="169"/>
      <c r="L24" s="169"/>
      <c r="M24" s="169"/>
      <c r="O24" s="76"/>
      <c r="P24" s="76"/>
    </row>
    <row r="25" spans="1:16" ht="12.75" customHeight="1" x14ac:dyDescent="0.25">
      <c r="A25" s="169"/>
      <c r="B25" s="169"/>
      <c r="C25" s="169"/>
      <c r="D25" s="169"/>
      <c r="E25" s="169"/>
      <c r="F25" s="169"/>
      <c r="G25" s="169"/>
      <c r="H25" s="169"/>
      <c r="I25" s="169"/>
      <c r="J25" s="169"/>
      <c r="K25" s="169"/>
      <c r="L25" s="169"/>
      <c r="M25" s="169"/>
      <c r="O25" s="76"/>
      <c r="P25" s="76"/>
    </row>
    <row r="26" spans="1:16" ht="12.75" customHeight="1" x14ac:dyDescent="0.25">
      <c r="A26" s="169"/>
      <c r="B26" s="169"/>
      <c r="C26" s="169"/>
      <c r="D26" s="169"/>
      <c r="E26" s="169"/>
      <c r="F26" s="169"/>
      <c r="G26" s="169"/>
      <c r="H26" s="169"/>
      <c r="I26" s="169"/>
      <c r="J26" s="169"/>
      <c r="K26" s="169"/>
      <c r="L26" s="169"/>
      <c r="M26" s="169"/>
      <c r="O26" s="76"/>
      <c r="P26" s="76"/>
    </row>
    <row r="27" spans="1:16" ht="12.75" customHeight="1" x14ac:dyDescent="0.25">
      <c r="A27" s="169"/>
      <c r="B27" s="169"/>
      <c r="C27" s="169"/>
      <c r="D27" s="169"/>
      <c r="E27" s="169"/>
      <c r="F27" s="169"/>
      <c r="G27" s="169"/>
      <c r="H27" s="169"/>
      <c r="I27" s="169"/>
      <c r="J27" s="169"/>
      <c r="K27" s="169"/>
      <c r="L27" s="169"/>
      <c r="M27" s="169"/>
      <c r="O27" s="76"/>
      <c r="P27" s="76"/>
    </row>
    <row r="28" spans="1:16" ht="12.75" customHeight="1" x14ac:dyDescent="0.25">
      <c r="A28" s="169"/>
      <c r="B28" s="169"/>
      <c r="C28" s="169"/>
      <c r="D28" s="169"/>
      <c r="E28" s="169"/>
      <c r="F28" s="169"/>
      <c r="G28" s="169"/>
      <c r="H28" s="169"/>
      <c r="I28" s="169"/>
      <c r="J28" s="169"/>
      <c r="K28" s="169"/>
      <c r="L28" s="169"/>
      <c r="M28" s="169"/>
      <c r="O28" s="76"/>
      <c r="P28" s="76"/>
    </row>
    <row r="29" spans="1:16" ht="12.75" customHeight="1" x14ac:dyDescent="0.25">
      <c r="A29" s="169"/>
      <c r="B29" s="169"/>
      <c r="C29" s="169"/>
      <c r="D29" s="169"/>
      <c r="E29" s="169"/>
      <c r="F29" s="169"/>
      <c r="G29" s="169"/>
      <c r="H29" s="169"/>
      <c r="I29" s="169"/>
      <c r="J29" s="169"/>
      <c r="K29" s="169"/>
      <c r="L29" s="169"/>
      <c r="M29" s="169"/>
      <c r="O29" s="76"/>
      <c r="P29" s="76"/>
    </row>
    <row r="30" spans="1:16" ht="12.75" customHeight="1" x14ac:dyDescent="0.25">
      <c r="A30" s="169"/>
      <c r="B30" s="169"/>
      <c r="C30" s="169"/>
      <c r="D30" s="169"/>
      <c r="E30" s="169"/>
      <c r="F30" s="169"/>
      <c r="G30" s="169"/>
      <c r="H30" s="169"/>
      <c r="I30" s="169"/>
      <c r="J30" s="169"/>
      <c r="K30" s="169"/>
      <c r="L30" s="169"/>
      <c r="M30" s="169"/>
      <c r="O30" s="76"/>
      <c r="P30" s="76"/>
    </row>
    <row r="31" spans="1:16" ht="12.75" customHeight="1" x14ac:dyDescent="0.25">
      <c r="A31" s="169"/>
      <c r="B31" s="169"/>
      <c r="C31" s="169"/>
      <c r="D31" s="169"/>
      <c r="E31" s="169"/>
      <c r="F31" s="169"/>
      <c r="G31" s="169"/>
      <c r="H31" s="169"/>
      <c r="I31" s="169"/>
      <c r="J31" s="169"/>
      <c r="K31" s="169"/>
      <c r="L31" s="169"/>
      <c r="M31" s="169"/>
      <c r="O31" s="76"/>
      <c r="P31" s="76"/>
    </row>
    <row r="32" spans="1:16" ht="12.75" customHeight="1" x14ac:dyDescent="0.25">
      <c r="A32" s="169"/>
      <c r="B32" s="169"/>
      <c r="C32" s="169"/>
      <c r="D32" s="169"/>
      <c r="E32" s="169"/>
      <c r="F32" s="169"/>
      <c r="G32" s="169"/>
      <c r="H32" s="169"/>
      <c r="I32" s="169"/>
      <c r="J32" s="169"/>
      <c r="K32" s="169"/>
      <c r="L32" s="169"/>
      <c r="M32" s="169"/>
      <c r="O32" s="76"/>
      <c r="P32" s="76"/>
    </row>
    <row r="33" spans="1:116" ht="12.75" customHeight="1" x14ac:dyDescent="0.25">
      <c r="A33" s="169"/>
      <c r="B33" s="169"/>
      <c r="C33" s="169"/>
      <c r="D33" s="169"/>
      <c r="E33" s="169"/>
      <c r="F33" s="169"/>
      <c r="G33" s="169"/>
      <c r="H33" s="169"/>
      <c r="I33" s="169"/>
      <c r="J33" s="169"/>
      <c r="K33" s="169"/>
      <c r="L33" s="169"/>
      <c r="M33" s="169"/>
      <c r="O33" s="76"/>
      <c r="P33" s="76"/>
    </row>
    <row r="34" spans="1:116" ht="12.75" customHeight="1" x14ac:dyDescent="0.25">
      <c r="A34" s="169"/>
      <c r="B34" s="169"/>
      <c r="C34" s="169"/>
      <c r="D34" s="169"/>
      <c r="E34" s="169"/>
      <c r="F34" s="169"/>
      <c r="G34" s="169"/>
      <c r="H34" s="169"/>
      <c r="I34" s="169"/>
      <c r="J34" s="169"/>
      <c r="K34" s="169"/>
      <c r="L34" s="169"/>
      <c r="M34" s="169"/>
      <c r="O34" s="76"/>
      <c r="P34" s="76"/>
    </row>
    <row r="35" spans="1:116" ht="12.75" customHeight="1" x14ac:dyDescent="0.25">
      <c r="A35" s="169"/>
      <c r="B35" s="169"/>
      <c r="C35" s="169"/>
      <c r="D35" s="169"/>
      <c r="E35" s="169"/>
      <c r="F35" s="169"/>
      <c r="G35" s="169"/>
      <c r="H35" s="169"/>
      <c r="I35" s="169"/>
      <c r="J35" s="169"/>
      <c r="K35" s="169"/>
      <c r="L35" s="169"/>
      <c r="M35" s="169"/>
      <c r="O35" s="76"/>
      <c r="P35" s="76"/>
    </row>
    <row r="36" spans="1:116" ht="12.75" customHeight="1" x14ac:dyDescent="0.25">
      <c r="A36" s="169"/>
      <c r="B36" s="169"/>
      <c r="C36" s="169"/>
      <c r="D36" s="169"/>
      <c r="E36" s="169"/>
      <c r="F36" s="169"/>
      <c r="G36" s="169"/>
      <c r="H36" s="169"/>
      <c r="I36" s="169"/>
      <c r="J36" s="169"/>
      <c r="K36" s="169"/>
      <c r="L36" s="169"/>
      <c r="M36" s="169"/>
      <c r="O36" s="76"/>
      <c r="P36" s="76"/>
    </row>
    <row r="37" spans="1:116" ht="12.75" customHeight="1" x14ac:dyDescent="0.25">
      <c r="A37" s="169"/>
      <c r="B37" s="169"/>
      <c r="C37" s="169"/>
      <c r="D37" s="169"/>
      <c r="E37" s="169"/>
      <c r="F37" s="169"/>
      <c r="G37" s="169"/>
      <c r="H37" s="169"/>
      <c r="I37" s="169"/>
      <c r="J37" s="169"/>
      <c r="K37" s="169"/>
      <c r="L37" s="169"/>
      <c r="M37" s="169"/>
      <c r="O37" s="76"/>
      <c r="P37" s="76"/>
    </row>
    <row r="38" spans="1:116" ht="12.75" customHeight="1" x14ac:dyDescent="0.25">
      <c r="A38" s="169"/>
      <c r="B38" s="169"/>
      <c r="C38" s="169"/>
      <c r="D38" s="169"/>
      <c r="E38" s="169"/>
      <c r="F38" s="169"/>
      <c r="G38" s="169"/>
      <c r="H38" s="169"/>
      <c r="I38" s="169"/>
      <c r="J38" s="169"/>
      <c r="K38" s="169"/>
      <c r="L38" s="169"/>
      <c r="M38" s="169"/>
      <c r="O38" s="76"/>
      <c r="P38" s="76"/>
    </row>
    <row r="39" spans="1:116" ht="12.75" customHeight="1" x14ac:dyDescent="0.25">
      <c r="A39" s="169"/>
      <c r="B39" s="169"/>
      <c r="C39" s="169"/>
      <c r="D39" s="169"/>
      <c r="E39" s="169"/>
      <c r="F39" s="169"/>
      <c r="G39" s="169"/>
      <c r="H39" s="169"/>
      <c r="I39" s="169"/>
      <c r="J39" s="169"/>
      <c r="K39" s="169"/>
      <c r="L39" s="169"/>
      <c r="M39" s="169"/>
      <c r="O39" s="76"/>
      <c r="P39" s="76"/>
    </row>
    <row r="40" spans="1:116" ht="12.75" customHeight="1" x14ac:dyDescent="0.25">
      <c r="A40" s="169"/>
      <c r="B40" s="169"/>
      <c r="C40" s="169"/>
      <c r="D40" s="169"/>
      <c r="E40" s="169"/>
      <c r="F40" s="169"/>
      <c r="G40" s="169"/>
      <c r="H40" s="169"/>
      <c r="I40" s="169"/>
      <c r="J40" s="169"/>
      <c r="K40" s="169"/>
      <c r="L40" s="169"/>
      <c r="M40" s="169"/>
      <c r="O40" s="76"/>
      <c r="P40" s="76"/>
    </row>
    <row r="41" spans="1:116" ht="12.75" customHeight="1" x14ac:dyDescent="0.25">
      <c r="A41" s="169"/>
      <c r="B41" s="169"/>
      <c r="C41" s="169"/>
      <c r="D41" s="169"/>
      <c r="E41" s="169"/>
      <c r="F41" s="169"/>
      <c r="G41" s="169"/>
      <c r="H41" s="169"/>
      <c r="I41" s="169"/>
      <c r="J41" s="169"/>
      <c r="K41" s="169"/>
      <c r="L41" s="169"/>
      <c r="M41" s="169"/>
      <c r="O41" s="76"/>
      <c r="P41" s="76"/>
    </row>
    <row r="42" spans="1:116" ht="12.75" customHeight="1" x14ac:dyDescent="0.25">
      <c r="A42" s="169"/>
      <c r="B42" s="169"/>
      <c r="C42" s="169"/>
      <c r="D42" s="169"/>
      <c r="E42" s="169"/>
      <c r="F42" s="169"/>
      <c r="G42" s="169"/>
      <c r="H42" s="169"/>
      <c r="I42" s="169"/>
      <c r="J42" s="169"/>
      <c r="K42" s="169"/>
      <c r="L42" s="169"/>
      <c r="M42" s="169"/>
      <c r="O42" s="76"/>
      <c r="P42" s="76"/>
      <c r="CU42" s="441"/>
    </row>
    <row r="43" spans="1:116" ht="12.75" customHeight="1" x14ac:dyDescent="0.25">
      <c r="A43" s="169"/>
      <c r="B43" s="169"/>
      <c r="C43" s="169"/>
      <c r="D43" s="169"/>
      <c r="E43" s="169"/>
      <c r="F43" s="169"/>
      <c r="G43" s="169"/>
      <c r="H43" s="169"/>
      <c r="I43" s="169"/>
      <c r="J43" s="169"/>
      <c r="K43" s="169"/>
      <c r="L43" s="169"/>
      <c r="M43" s="169"/>
      <c r="O43" s="76"/>
      <c r="P43" s="76"/>
    </row>
    <row r="44" spans="1:116" ht="12.75" customHeight="1" x14ac:dyDescent="0.25">
      <c r="A44" s="169"/>
      <c r="B44" s="169"/>
      <c r="C44" s="169"/>
      <c r="D44" s="169"/>
      <c r="E44" s="169"/>
      <c r="F44" s="169"/>
      <c r="G44" s="169"/>
      <c r="H44" s="169"/>
      <c r="I44" s="169"/>
      <c r="J44" s="169"/>
      <c r="K44" s="169"/>
      <c r="L44" s="169"/>
      <c r="M44" s="169"/>
      <c r="O44" s="76"/>
      <c r="P44" s="76"/>
    </row>
    <row r="45" spans="1:116" ht="12.75" customHeight="1" x14ac:dyDescent="0.25">
      <c r="A45" s="169"/>
      <c r="B45" s="169"/>
      <c r="C45" s="169"/>
      <c r="D45" s="169"/>
      <c r="E45" s="169"/>
      <c r="F45" s="169"/>
      <c r="G45" s="169"/>
      <c r="H45" s="169"/>
      <c r="I45" s="169"/>
      <c r="J45" s="169"/>
      <c r="K45" s="169"/>
      <c r="L45" s="169"/>
      <c r="M45" s="169"/>
      <c r="O45" s="76"/>
      <c r="P45" s="76"/>
    </row>
    <row r="46" spans="1:116" ht="12.75" customHeight="1" x14ac:dyDescent="0.25">
      <c r="A46" s="169"/>
      <c r="B46" s="169"/>
      <c r="C46" s="169"/>
      <c r="D46" s="169"/>
      <c r="E46" s="169"/>
      <c r="F46" s="169"/>
      <c r="G46" s="169"/>
      <c r="H46" s="169"/>
      <c r="I46" s="169"/>
      <c r="J46" s="169"/>
      <c r="K46" s="169"/>
      <c r="L46" s="169"/>
      <c r="M46" s="169"/>
      <c r="O46" s="76"/>
      <c r="P46" s="76"/>
    </row>
    <row r="47" spans="1:116" ht="12.75" customHeight="1" x14ac:dyDescent="0.25">
      <c r="A47" s="169"/>
      <c r="B47" s="169"/>
      <c r="C47" s="169"/>
      <c r="D47" s="169"/>
      <c r="E47" s="169"/>
      <c r="F47" s="169"/>
      <c r="G47" s="169"/>
      <c r="H47" s="169"/>
      <c r="I47" s="169"/>
      <c r="J47" s="169"/>
      <c r="K47" s="169"/>
      <c r="L47" s="169"/>
      <c r="M47" s="169"/>
      <c r="O47" s="76"/>
      <c r="P47" s="76"/>
      <c r="DC47" s="450"/>
      <c r="DD47" s="450" t="s">
        <v>311</v>
      </c>
      <c r="DE47" s="450"/>
      <c r="DF47" s="450"/>
      <c r="DG47" s="450"/>
      <c r="DH47" s="450"/>
      <c r="DI47" s="450"/>
      <c r="DJ47" s="450"/>
      <c r="DK47" s="450"/>
      <c r="DL47" s="450"/>
    </row>
    <row r="48" spans="1:116" ht="12.75" customHeight="1" x14ac:dyDescent="0.25">
      <c r="A48" s="169"/>
      <c r="B48" s="169"/>
      <c r="C48" s="169"/>
      <c r="D48" s="169"/>
      <c r="E48" s="169"/>
      <c r="F48" s="169"/>
      <c r="G48" s="169"/>
      <c r="H48" s="169"/>
      <c r="I48" s="169"/>
      <c r="J48" s="169"/>
      <c r="K48" s="169"/>
      <c r="L48" s="169"/>
      <c r="M48" s="169"/>
      <c r="O48" s="76"/>
      <c r="P48" s="76"/>
      <c r="CP48" s="452"/>
      <c r="CQ48" s="455" t="s">
        <v>23</v>
      </c>
      <c r="CR48" s="450"/>
      <c r="CS48" s="450"/>
      <c r="CT48" s="450"/>
      <c r="CU48" s="453" t="s">
        <v>24</v>
      </c>
      <c r="CV48" s="450"/>
      <c r="CW48" s="455"/>
      <c r="CY48" s="452"/>
      <c r="CZ48" s="450"/>
      <c r="DA48" s="453" t="s">
        <v>25</v>
      </c>
      <c r="DC48" s="450"/>
      <c r="DD48" s="450" t="s">
        <v>312</v>
      </c>
      <c r="DE48" s="450"/>
      <c r="DF48" s="450"/>
      <c r="DG48" s="450"/>
      <c r="DH48" s="450"/>
      <c r="DI48" s="450"/>
      <c r="DJ48" s="450"/>
      <c r="DK48" s="450"/>
      <c r="DL48" s="450"/>
    </row>
    <row r="49" spans="1:116" ht="12.75" customHeight="1" x14ac:dyDescent="0.25">
      <c r="A49" s="169"/>
      <c r="B49" s="169"/>
      <c r="C49" s="169"/>
      <c r="D49" s="169"/>
      <c r="E49" s="169"/>
      <c r="F49" s="169"/>
      <c r="G49" s="169"/>
      <c r="H49" s="169"/>
      <c r="I49" s="169"/>
      <c r="J49" s="169"/>
      <c r="K49" s="169"/>
      <c r="L49" s="169"/>
      <c r="M49" s="169"/>
      <c r="O49" s="76"/>
      <c r="P49" s="76"/>
      <c r="CP49" s="452" t="s">
        <v>167</v>
      </c>
      <c r="CQ49" s="456" t="s">
        <v>307</v>
      </c>
      <c r="CR49" s="450">
        <f>118.16+7.12</f>
        <v>125.28</v>
      </c>
      <c r="CS49" s="450" t="s">
        <v>160</v>
      </c>
      <c r="CT49" s="454" t="s">
        <v>307</v>
      </c>
      <c r="CU49" s="450"/>
      <c r="CV49" s="450" t="s">
        <v>160</v>
      </c>
      <c r="CW49" s="456" t="s">
        <v>308</v>
      </c>
      <c r="CY49" s="452" t="s">
        <v>169</v>
      </c>
      <c r="CZ49" s="454" t="s">
        <v>309</v>
      </c>
      <c r="DA49" s="450"/>
      <c r="DC49" s="450"/>
      <c r="DD49" s="450"/>
      <c r="DE49" s="450"/>
      <c r="DF49" s="450"/>
      <c r="DG49" s="450"/>
      <c r="DH49" s="450"/>
      <c r="DI49" s="450"/>
      <c r="DJ49" s="450"/>
      <c r="DK49" s="450"/>
      <c r="DL49" s="450"/>
    </row>
    <row r="50" spans="1:116" ht="12.75" customHeight="1" x14ac:dyDescent="0.25">
      <c r="A50" s="169"/>
      <c r="B50" s="169"/>
      <c r="C50" s="169"/>
      <c r="D50" s="169"/>
      <c r="E50" s="169"/>
      <c r="F50" s="169"/>
      <c r="G50" s="169"/>
      <c r="H50" s="169"/>
      <c r="I50" s="169"/>
      <c r="J50" s="169"/>
      <c r="K50" s="169"/>
      <c r="L50" s="169"/>
      <c r="M50" s="169"/>
      <c r="O50" s="76"/>
      <c r="P50" s="76"/>
      <c r="CP50" s="452">
        <v>2012</v>
      </c>
      <c r="CQ50" s="450">
        <v>7.12</v>
      </c>
      <c r="CR50" s="450">
        <f>CR49-CQ50</f>
        <v>118.16</v>
      </c>
      <c r="CS50" s="450">
        <v>2012</v>
      </c>
      <c r="CT50" s="450">
        <v>26.9575</v>
      </c>
      <c r="CU50" s="450"/>
      <c r="CV50" s="450">
        <v>2012</v>
      </c>
      <c r="CW50" s="452">
        <v>26.47</v>
      </c>
      <c r="CY50" s="450">
        <v>2011</v>
      </c>
      <c r="CZ50" s="450">
        <v>39.75</v>
      </c>
      <c r="DA50" s="450"/>
      <c r="DC50" s="450"/>
      <c r="DD50" s="450" t="s">
        <v>313</v>
      </c>
      <c r="DE50" s="450"/>
      <c r="DF50" s="450" t="s">
        <v>314</v>
      </c>
      <c r="DG50" s="450"/>
      <c r="DH50" s="450" t="s">
        <v>315</v>
      </c>
      <c r="DI50" s="450"/>
      <c r="DJ50" s="450" t="s">
        <v>316</v>
      </c>
      <c r="DK50" s="450"/>
      <c r="DL50" s="450" t="s">
        <v>317</v>
      </c>
    </row>
    <row r="51" spans="1:116" ht="12.75" customHeight="1" x14ac:dyDescent="0.25">
      <c r="A51" s="169"/>
      <c r="B51" s="169"/>
      <c r="C51" s="169"/>
      <c r="D51" s="169"/>
      <c r="E51" s="169"/>
      <c r="F51" s="169"/>
      <c r="G51" s="169"/>
      <c r="H51" s="169"/>
      <c r="I51" s="169"/>
      <c r="J51" s="169"/>
      <c r="K51" s="169"/>
      <c r="L51" s="169"/>
      <c r="M51" s="169"/>
      <c r="O51" s="76"/>
      <c r="P51" s="76"/>
      <c r="CI51" s="448"/>
      <c r="CP51" s="452">
        <v>2013</v>
      </c>
      <c r="CQ51" s="450">
        <v>7.41</v>
      </c>
      <c r="CR51" s="450">
        <f t="shared" ref="CR51:CR59" si="0">CR50-CQ51</f>
        <v>110.75</v>
      </c>
      <c r="CS51" s="450">
        <v>2013</v>
      </c>
      <c r="CT51" s="450">
        <f>CT50-CU51</f>
        <v>25.83</v>
      </c>
      <c r="CU51" s="450">
        <f>0.000001*DJ53</f>
        <v>1.1274999999999999</v>
      </c>
      <c r="CV51" s="450">
        <v>2013</v>
      </c>
      <c r="CW51" s="450">
        <f>CW50-0.000001*DH53</f>
        <v>25.372499999999999</v>
      </c>
      <c r="CY51" s="452">
        <v>2012</v>
      </c>
      <c r="CZ51" s="450">
        <f>CZ50-DA51</f>
        <v>37.659999999999997</v>
      </c>
      <c r="DA51" s="450">
        <v>2.09</v>
      </c>
      <c r="DC51" s="450">
        <v>40558</v>
      </c>
      <c r="DD51" s="450">
        <v>30000</v>
      </c>
      <c r="DE51" s="450"/>
      <c r="DF51" s="450">
        <v>107500</v>
      </c>
      <c r="DG51" s="450"/>
      <c r="DH51" s="450">
        <v>107500</v>
      </c>
      <c r="DI51" s="450"/>
      <c r="DJ51" s="450">
        <v>137500</v>
      </c>
      <c r="DK51" s="450"/>
      <c r="DL51" s="450">
        <v>245000</v>
      </c>
    </row>
    <row r="52" spans="1:116" ht="12.75" customHeight="1" x14ac:dyDescent="0.25">
      <c r="A52" s="169"/>
      <c r="B52" s="169"/>
      <c r="C52" s="169"/>
      <c r="D52" s="169"/>
      <c r="E52" s="169"/>
      <c r="F52" s="169"/>
      <c r="G52" s="169"/>
      <c r="H52" s="169"/>
      <c r="I52" s="169"/>
      <c r="J52" s="169"/>
      <c r="K52" s="169"/>
      <c r="L52" s="169"/>
      <c r="M52" s="169"/>
      <c r="O52" s="76"/>
      <c r="P52" s="76"/>
      <c r="CP52" s="452">
        <v>2014</v>
      </c>
      <c r="CQ52" s="450">
        <v>7.71</v>
      </c>
      <c r="CR52" s="450">
        <f t="shared" si="0"/>
        <v>103.04</v>
      </c>
      <c r="CS52" s="450">
        <v>2014</v>
      </c>
      <c r="CT52" s="450">
        <f t="shared" ref="CT52:CT59" si="1">CT51-CU52</f>
        <v>23.602499999999999</v>
      </c>
      <c r="CU52" s="450">
        <f t="shared" ref="CU52:CU60" si="2">0.000001*DJ54</f>
        <v>2.2275</v>
      </c>
      <c r="CV52" s="450">
        <v>2014</v>
      </c>
      <c r="CW52" s="450">
        <f t="shared" ref="CW52:CW60" si="3">CW51-0.000001*DH54</f>
        <v>23.174999999999997</v>
      </c>
      <c r="CY52" s="452">
        <v>2013</v>
      </c>
      <c r="CZ52" s="450">
        <f t="shared" ref="CZ52:CZ64" si="4">CZ51-DA52</f>
        <v>35.555</v>
      </c>
      <c r="DA52" s="450">
        <v>2.105</v>
      </c>
      <c r="DC52" s="450">
        <v>40923</v>
      </c>
      <c r="DD52" s="450">
        <v>30000</v>
      </c>
      <c r="DE52" s="450"/>
      <c r="DF52" s="450">
        <v>270000</v>
      </c>
      <c r="DG52" s="450"/>
      <c r="DH52" s="450">
        <v>270000</v>
      </c>
      <c r="DI52" s="450"/>
      <c r="DJ52" s="450">
        <v>300000</v>
      </c>
      <c r="DK52" s="450"/>
      <c r="DL52" s="450">
        <v>570000</v>
      </c>
    </row>
    <row r="53" spans="1:116" ht="12.75" customHeight="1" x14ac:dyDescent="0.25">
      <c r="A53" s="169"/>
      <c r="B53" s="169"/>
      <c r="C53" s="169"/>
      <c r="D53" s="169"/>
      <c r="E53" s="169"/>
      <c r="F53" s="169"/>
      <c r="G53" s="169"/>
      <c r="H53" s="169"/>
      <c r="I53" s="169"/>
      <c r="J53" s="169"/>
      <c r="K53" s="169"/>
      <c r="L53" s="169"/>
      <c r="M53" s="169"/>
      <c r="O53" s="76"/>
      <c r="P53" s="76"/>
      <c r="CP53" s="452">
        <v>2015</v>
      </c>
      <c r="CQ53" s="450">
        <v>8.0150000000000006</v>
      </c>
      <c r="CR53" s="450">
        <f t="shared" si="0"/>
        <v>95.025000000000006</v>
      </c>
      <c r="CS53" s="450">
        <v>2015</v>
      </c>
      <c r="CT53" s="450">
        <f t="shared" si="1"/>
        <v>21.282499999999999</v>
      </c>
      <c r="CU53" s="450">
        <f t="shared" si="2"/>
        <v>2.3199999999999998</v>
      </c>
      <c r="CV53" s="450">
        <v>2015</v>
      </c>
      <c r="CW53" s="450">
        <f t="shared" si="3"/>
        <v>20.884999999999998</v>
      </c>
      <c r="CY53" s="452">
        <v>2014</v>
      </c>
      <c r="CZ53" s="450">
        <f t="shared" si="4"/>
        <v>33.335000000000001</v>
      </c>
      <c r="DA53" s="450">
        <v>2.2200000000000002</v>
      </c>
      <c r="DC53" s="450">
        <v>41289</v>
      </c>
      <c r="DD53" s="450">
        <v>30000</v>
      </c>
      <c r="DE53" s="450"/>
      <c r="DF53" s="450">
        <v>1097500</v>
      </c>
      <c r="DG53" s="450"/>
      <c r="DH53" s="450">
        <v>1097500</v>
      </c>
      <c r="DI53" s="450"/>
      <c r="DJ53" s="450">
        <v>1127500</v>
      </c>
      <c r="DK53" s="450"/>
      <c r="DL53" s="450">
        <v>2225000</v>
      </c>
    </row>
    <row r="54" spans="1:116" ht="12.75" customHeight="1" x14ac:dyDescent="0.25">
      <c r="A54" s="169"/>
      <c r="B54" s="169"/>
      <c r="C54" s="169"/>
      <c r="D54" s="169"/>
      <c r="E54" s="169"/>
      <c r="F54" s="169"/>
      <c r="G54" s="169"/>
      <c r="H54" s="169"/>
      <c r="I54" s="169"/>
      <c r="J54" s="169"/>
      <c r="K54" s="169"/>
      <c r="L54" s="169"/>
      <c r="M54" s="169"/>
      <c r="O54" s="76"/>
      <c r="P54" s="76"/>
      <c r="CP54" s="452">
        <v>2016</v>
      </c>
      <c r="CQ54" s="450">
        <v>8.3450000000000006</v>
      </c>
      <c r="CR54" s="450">
        <f t="shared" si="0"/>
        <v>86.68</v>
      </c>
      <c r="CS54" s="450">
        <v>2016</v>
      </c>
      <c r="CT54" s="450">
        <f t="shared" si="1"/>
        <v>18.862499999999997</v>
      </c>
      <c r="CU54" s="450">
        <f t="shared" si="2"/>
        <v>2.42</v>
      </c>
      <c r="CV54" s="450">
        <v>2016</v>
      </c>
      <c r="CW54" s="450">
        <f t="shared" si="3"/>
        <v>18.494999999999997</v>
      </c>
      <c r="CY54" s="452">
        <v>2015</v>
      </c>
      <c r="CZ54" s="450">
        <f t="shared" si="4"/>
        <v>31.094999999999999</v>
      </c>
      <c r="DA54" s="450">
        <v>2.2400000000000002</v>
      </c>
      <c r="DC54" s="450">
        <v>41654</v>
      </c>
      <c r="DD54" s="450">
        <v>30000</v>
      </c>
      <c r="DE54" s="450"/>
      <c r="DF54" s="450">
        <v>2197500</v>
      </c>
      <c r="DG54" s="450"/>
      <c r="DH54" s="450">
        <v>2197500</v>
      </c>
      <c r="DI54" s="450"/>
      <c r="DJ54" s="450">
        <v>2227500</v>
      </c>
      <c r="DK54" s="450"/>
      <c r="DL54" s="450">
        <v>4425000</v>
      </c>
    </row>
    <row r="55" spans="1:116" ht="12.75" customHeight="1" x14ac:dyDescent="0.25">
      <c r="A55" s="169"/>
      <c r="B55" s="169"/>
      <c r="C55" s="169"/>
      <c r="D55" s="169"/>
      <c r="E55" s="169"/>
      <c r="F55" s="169"/>
      <c r="G55" s="169"/>
      <c r="H55" s="169"/>
      <c r="I55" s="169"/>
      <c r="J55" s="169"/>
      <c r="K55" s="169"/>
      <c r="L55" s="169"/>
      <c r="M55" s="169"/>
      <c r="O55" s="76"/>
      <c r="P55" s="76"/>
      <c r="CP55" s="452">
        <v>2017</v>
      </c>
      <c r="CQ55" s="450">
        <v>15.999000000000001</v>
      </c>
      <c r="CR55" s="450">
        <f t="shared" si="0"/>
        <v>70.681000000000012</v>
      </c>
      <c r="CS55" s="450">
        <v>2017</v>
      </c>
      <c r="CT55" s="450">
        <f t="shared" si="1"/>
        <v>16.162499999999998</v>
      </c>
      <c r="CU55" s="450">
        <f t="shared" si="2"/>
        <v>2.6999999999999997</v>
      </c>
      <c r="CV55" s="450">
        <v>2017</v>
      </c>
      <c r="CW55" s="450">
        <f t="shared" si="3"/>
        <v>15.824999999999998</v>
      </c>
      <c r="CY55" s="452">
        <v>2016</v>
      </c>
      <c r="CZ55" s="450">
        <f t="shared" si="4"/>
        <v>28.729999999999997</v>
      </c>
      <c r="DA55" s="450">
        <v>2.3650000000000002</v>
      </c>
      <c r="DC55" s="450">
        <v>42019</v>
      </c>
      <c r="DD55" s="450">
        <v>30000</v>
      </c>
      <c r="DE55" s="450"/>
      <c r="DF55" s="450">
        <v>2290000</v>
      </c>
      <c r="DG55" s="450"/>
      <c r="DH55" s="450">
        <v>2290000</v>
      </c>
      <c r="DI55" s="450"/>
      <c r="DJ55" s="450">
        <v>2320000</v>
      </c>
      <c r="DK55" s="450"/>
      <c r="DL55" s="450">
        <v>4610000</v>
      </c>
    </row>
    <row r="56" spans="1:116" ht="12.75" customHeight="1" x14ac:dyDescent="0.25">
      <c r="A56" s="169"/>
      <c r="B56" s="169"/>
      <c r="C56" s="169"/>
      <c r="D56" s="169"/>
      <c r="E56" s="169"/>
      <c r="F56" s="169"/>
      <c r="G56" s="169"/>
      <c r="H56" s="169"/>
      <c r="I56" s="169"/>
      <c r="J56" s="169"/>
      <c r="K56" s="169"/>
      <c r="L56" s="169"/>
      <c r="M56" s="169"/>
      <c r="O56" s="76"/>
      <c r="P56" s="76"/>
      <c r="CP56" s="452">
        <v>2018</v>
      </c>
      <c r="CQ56" s="450">
        <v>16.635000000000002</v>
      </c>
      <c r="CR56" s="450">
        <f t="shared" si="0"/>
        <v>54.046000000000006</v>
      </c>
      <c r="CS56" s="450">
        <v>2018</v>
      </c>
      <c r="CT56" s="450">
        <f t="shared" si="1"/>
        <v>13.339999999999998</v>
      </c>
      <c r="CU56" s="450">
        <f t="shared" si="2"/>
        <v>2.8224999999999998</v>
      </c>
      <c r="CV56" s="450">
        <v>2018</v>
      </c>
      <c r="CW56" s="450">
        <f t="shared" si="3"/>
        <v>13.037499999999998</v>
      </c>
      <c r="CY56" s="452">
        <v>2017</v>
      </c>
      <c r="CZ56" s="450">
        <f t="shared" si="4"/>
        <v>26.244999999999997</v>
      </c>
      <c r="DA56" s="450">
        <v>2.4849999999999999</v>
      </c>
      <c r="DC56" s="450">
        <v>42384</v>
      </c>
      <c r="DD56" s="450">
        <v>30000</v>
      </c>
      <c r="DE56" s="450"/>
      <c r="DF56" s="450">
        <v>2390000</v>
      </c>
      <c r="DG56" s="450"/>
      <c r="DH56" s="450">
        <v>2390000</v>
      </c>
      <c r="DI56" s="450"/>
      <c r="DJ56" s="450">
        <v>2420000</v>
      </c>
      <c r="DK56" s="450"/>
      <c r="DL56" s="450">
        <v>4810000</v>
      </c>
    </row>
    <row r="57" spans="1:116" ht="12.75" customHeight="1" x14ac:dyDescent="0.25">
      <c r="A57" s="169"/>
      <c r="B57" s="169"/>
      <c r="C57" s="169"/>
      <c r="D57" s="169"/>
      <c r="E57" s="169"/>
      <c r="F57" s="169"/>
      <c r="G57" s="169"/>
      <c r="H57" s="169"/>
      <c r="I57" s="169"/>
      <c r="J57" s="169"/>
      <c r="K57" s="169"/>
      <c r="L57" s="169"/>
      <c r="M57" s="169"/>
      <c r="O57" s="76"/>
      <c r="P57" s="76"/>
      <c r="CP57" s="452">
        <v>2019</v>
      </c>
      <c r="CQ57" s="450">
        <v>17.305</v>
      </c>
      <c r="CR57" s="450">
        <f t="shared" si="0"/>
        <v>36.741000000000007</v>
      </c>
      <c r="CS57" s="450">
        <v>2019</v>
      </c>
      <c r="CT57" s="450">
        <f t="shared" si="1"/>
        <v>10.394999999999998</v>
      </c>
      <c r="CU57" s="450">
        <f t="shared" si="2"/>
        <v>2.9449999999999998</v>
      </c>
      <c r="CV57" s="450">
        <v>2019</v>
      </c>
      <c r="CW57" s="450">
        <f t="shared" si="3"/>
        <v>10.127499999999998</v>
      </c>
      <c r="CY57" s="452">
        <v>2018</v>
      </c>
      <c r="CZ57" s="450">
        <f t="shared" si="4"/>
        <v>23.724999999999998</v>
      </c>
      <c r="DA57" s="450">
        <v>2.52</v>
      </c>
      <c r="DC57" s="450">
        <v>42750</v>
      </c>
      <c r="DD57" s="450">
        <v>30000</v>
      </c>
      <c r="DE57" s="450"/>
      <c r="DF57" s="450">
        <v>2670000</v>
      </c>
      <c r="DG57" s="450"/>
      <c r="DH57" s="450">
        <v>2670000</v>
      </c>
      <c r="DI57" s="450"/>
      <c r="DJ57" s="450">
        <v>2700000</v>
      </c>
      <c r="DK57" s="450"/>
      <c r="DL57" s="450">
        <v>5370000</v>
      </c>
    </row>
    <row r="58" spans="1:116" ht="12.75" customHeight="1" x14ac:dyDescent="0.25">
      <c r="A58" s="169"/>
      <c r="B58" s="169"/>
      <c r="C58" s="169"/>
      <c r="D58" s="169"/>
      <c r="E58" s="169"/>
      <c r="F58" s="169"/>
      <c r="G58" s="169"/>
      <c r="H58" s="169"/>
      <c r="I58" s="169"/>
      <c r="J58" s="169"/>
      <c r="K58" s="169"/>
      <c r="L58" s="169"/>
      <c r="M58" s="169"/>
      <c r="O58" s="76"/>
      <c r="P58" s="76"/>
      <c r="CP58" s="452">
        <v>2020</v>
      </c>
      <c r="CQ58" s="450">
        <v>18.010000000000002</v>
      </c>
      <c r="CR58" s="450">
        <f t="shared" si="0"/>
        <v>18.731000000000005</v>
      </c>
      <c r="CS58" s="450">
        <v>2020</v>
      </c>
      <c r="CT58" s="450">
        <f t="shared" si="1"/>
        <v>7.1049999999999978</v>
      </c>
      <c r="CU58" s="450">
        <f t="shared" si="2"/>
        <v>3.29</v>
      </c>
      <c r="CV58" s="450">
        <v>2020</v>
      </c>
      <c r="CW58" s="450">
        <f t="shared" si="3"/>
        <v>6.8974999999999973</v>
      </c>
      <c r="CY58" s="452">
        <v>2019</v>
      </c>
      <c r="CZ58" s="450">
        <f t="shared" si="4"/>
        <v>21.069999999999997</v>
      </c>
      <c r="DA58" s="450">
        <v>2.6549999999999998</v>
      </c>
      <c r="DC58" s="450">
        <v>43115</v>
      </c>
      <c r="DD58" s="450">
        <v>35000</v>
      </c>
      <c r="DE58" s="450"/>
      <c r="DF58" s="450">
        <v>2787500</v>
      </c>
      <c r="DG58" s="450"/>
      <c r="DH58" s="450">
        <v>2787500</v>
      </c>
      <c r="DI58" s="450"/>
      <c r="DJ58" s="450">
        <v>2822500</v>
      </c>
      <c r="DK58" s="450"/>
      <c r="DL58" s="450">
        <v>5610000</v>
      </c>
    </row>
    <row r="59" spans="1:116" ht="12.75" customHeight="1" x14ac:dyDescent="0.25">
      <c r="A59" s="169"/>
      <c r="B59" s="169"/>
      <c r="C59" s="169"/>
      <c r="D59" s="169"/>
      <c r="E59" s="169"/>
      <c r="F59" s="169"/>
      <c r="G59" s="169"/>
      <c r="H59" s="169"/>
      <c r="I59" s="169"/>
      <c r="J59" s="169"/>
      <c r="K59" s="169"/>
      <c r="L59" s="169"/>
      <c r="M59" s="169"/>
      <c r="O59" s="76"/>
      <c r="P59" s="76"/>
      <c r="CP59" s="452">
        <v>2021</v>
      </c>
      <c r="CQ59" s="450">
        <v>18.739999999999998</v>
      </c>
      <c r="CR59" s="450">
        <f t="shared" si="0"/>
        <v>-8.9999999999932356E-3</v>
      </c>
      <c r="CS59" s="450">
        <v>2021</v>
      </c>
      <c r="CT59" s="450">
        <f t="shared" si="1"/>
        <v>3.637499999999998</v>
      </c>
      <c r="CU59" s="450">
        <f t="shared" si="2"/>
        <v>3.4674999999999998</v>
      </c>
      <c r="CV59" s="450">
        <v>2021</v>
      </c>
      <c r="CW59" s="450">
        <f t="shared" si="3"/>
        <v>3.5199999999999974</v>
      </c>
      <c r="CY59" s="452">
        <v>2020</v>
      </c>
      <c r="CZ59" s="450">
        <f t="shared" si="4"/>
        <v>18.369999999999997</v>
      </c>
      <c r="DA59" s="450">
        <v>2.7</v>
      </c>
      <c r="DC59" s="450">
        <v>43480</v>
      </c>
      <c r="DD59" s="450">
        <v>35000</v>
      </c>
      <c r="DE59" s="450"/>
      <c r="DF59" s="450">
        <v>2910000</v>
      </c>
      <c r="DG59" s="450"/>
      <c r="DH59" s="450">
        <v>2910000</v>
      </c>
      <c r="DI59" s="450"/>
      <c r="DJ59" s="450">
        <v>2945000</v>
      </c>
      <c r="DK59" s="450"/>
      <c r="DL59" s="450">
        <v>5855000</v>
      </c>
    </row>
    <row r="60" spans="1:116" ht="12.75" customHeight="1" x14ac:dyDescent="0.25">
      <c r="A60" s="169"/>
      <c r="B60" s="169"/>
      <c r="C60" s="169"/>
      <c r="D60" s="169"/>
      <c r="E60" s="169"/>
      <c r="F60" s="169"/>
      <c r="G60" s="169"/>
      <c r="H60" s="169"/>
      <c r="I60" s="169"/>
      <c r="J60" s="169"/>
      <c r="K60" s="169"/>
      <c r="L60" s="169"/>
      <c r="M60" s="169"/>
      <c r="O60" s="76"/>
      <c r="P60" s="76"/>
      <c r="CP60" s="452"/>
      <c r="CQ60" s="452"/>
      <c r="CR60" s="450"/>
      <c r="CS60" s="450">
        <v>2022</v>
      </c>
      <c r="CT60" s="450">
        <f>CT59-CU60</f>
        <v>0</v>
      </c>
      <c r="CU60" s="450">
        <f t="shared" si="2"/>
        <v>3.6374999999999997</v>
      </c>
      <c r="CV60" s="450">
        <v>2022</v>
      </c>
      <c r="CW60" s="450">
        <f t="shared" si="3"/>
        <v>-2.5000000000026112E-3</v>
      </c>
      <c r="CY60" s="452">
        <v>2021</v>
      </c>
      <c r="CZ60" s="450">
        <f t="shared" si="4"/>
        <v>15.524999999999997</v>
      </c>
      <c r="DA60" s="450">
        <v>2.8450000000000002</v>
      </c>
      <c r="DC60" s="450">
        <v>43845</v>
      </c>
      <c r="DD60" s="450">
        <v>60000</v>
      </c>
      <c r="DE60" s="450"/>
      <c r="DF60" s="450">
        <v>3230000</v>
      </c>
      <c r="DG60" s="450"/>
      <c r="DH60" s="450">
        <v>3230000</v>
      </c>
      <c r="DI60" s="450"/>
      <c r="DJ60" s="450">
        <v>3290000</v>
      </c>
      <c r="DK60" s="450"/>
      <c r="DL60" s="450">
        <v>6520000</v>
      </c>
    </row>
    <row r="61" spans="1:116" customFormat="1" ht="12.75" customHeight="1" x14ac:dyDescent="0.25">
      <c r="A61" s="170"/>
      <c r="B61" s="170"/>
      <c r="C61" s="170"/>
      <c r="D61" s="170"/>
      <c r="E61" s="170"/>
      <c r="F61" s="170"/>
      <c r="G61" s="170"/>
      <c r="H61" s="170"/>
      <c r="I61" s="170"/>
      <c r="J61" s="170"/>
      <c r="K61" s="170"/>
      <c r="L61" s="170"/>
      <c r="M61" s="170"/>
      <c r="CP61" s="441"/>
      <c r="CR61" s="77"/>
      <c r="CS61" s="77"/>
      <c r="CU61" s="77"/>
      <c r="CV61" s="441"/>
      <c r="CW61" s="77"/>
      <c r="CY61" s="452">
        <v>2022</v>
      </c>
      <c r="CZ61" s="450">
        <f t="shared" si="4"/>
        <v>12.624999999999996</v>
      </c>
      <c r="DA61" s="450">
        <v>2.9</v>
      </c>
      <c r="DC61" s="451">
        <v>44211</v>
      </c>
      <c r="DD61" s="451">
        <v>90000</v>
      </c>
      <c r="DE61" s="451"/>
      <c r="DF61" s="451">
        <v>3377500</v>
      </c>
      <c r="DG61" s="451"/>
      <c r="DH61" s="451">
        <v>3377500</v>
      </c>
      <c r="DI61" s="451"/>
      <c r="DJ61" s="451">
        <v>3467500</v>
      </c>
      <c r="DK61" s="451"/>
      <c r="DL61" s="451">
        <v>6845000</v>
      </c>
    </row>
    <row r="62" spans="1:116" customFormat="1" ht="12.75" customHeight="1" x14ac:dyDescent="0.25">
      <c r="A62" s="170"/>
      <c r="B62" s="170"/>
      <c r="C62" s="170"/>
      <c r="D62" s="170"/>
      <c r="E62" s="170"/>
      <c r="F62" s="170"/>
      <c r="G62" s="170"/>
      <c r="H62" s="170"/>
      <c r="I62" s="170"/>
      <c r="J62" s="170"/>
      <c r="K62" s="170"/>
      <c r="L62" s="170"/>
      <c r="M62" s="170"/>
      <c r="CQ62" s="441"/>
      <c r="CR62" s="77"/>
      <c r="CU62" s="77"/>
      <c r="CV62" s="441"/>
      <c r="CW62" s="77"/>
      <c r="CY62" s="452">
        <v>2023</v>
      </c>
      <c r="CZ62" s="450">
        <f t="shared" si="4"/>
        <v>9.5649999999999959</v>
      </c>
      <c r="DA62" s="450">
        <v>3.06</v>
      </c>
      <c r="DC62" s="451">
        <v>44576</v>
      </c>
      <c r="DD62" s="451">
        <v>115000</v>
      </c>
      <c r="DE62" s="451"/>
      <c r="DF62" s="451">
        <v>3522500</v>
      </c>
      <c r="DG62" s="451"/>
      <c r="DH62" s="451">
        <v>3522500</v>
      </c>
      <c r="DI62" s="451"/>
      <c r="DJ62" s="451">
        <v>3637500</v>
      </c>
      <c r="DK62" s="451"/>
      <c r="DL62" s="451">
        <v>7160000</v>
      </c>
    </row>
    <row r="63" spans="1:116" customFormat="1" ht="12.75" customHeight="1" x14ac:dyDescent="0.25">
      <c r="A63" s="170"/>
      <c r="B63" s="170"/>
      <c r="C63" s="170"/>
      <c r="D63" s="170"/>
      <c r="E63" s="170"/>
      <c r="F63" s="170"/>
      <c r="G63" s="170"/>
      <c r="H63" s="170"/>
      <c r="I63" s="170"/>
      <c r="J63" s="170"/>
      <c r="K63" s="170"/>
      <c r="L63" s="170"/>
      <c r="M63" s="170"/>
      <c r="CQ63" s="442"/>
      <c r="CR63" s="77"/>
      <c r="CS63" s="77"/>
      <c r="CT63" s="77"/>
      <c r="CU63" s="77"/>
      <c r="CY63" s="452">
        <v>2024</v>
      </c>
      <c r="CZ63" s="450">
        <f t="shared" si="4"/>
        <v>6.3399999999999963</v>
      </c>
      <c r="DA63" s="450">
        <v>3.2250000000000001</v>
      </c>
      <c r="DC63" s="451"/>
      <c r="DD63" s="451"/>
      <c r="DE63" s="451"/>
      <c r="DF63" s="451"/>
      <c r="DG63" s="451"/>
      <c r="DH63" s="451"/>
      <c r="DI63" s="451"/>
      <c r="DJ63" s="451"/>
      <c r="DK63" s="451"/>
      <c r="DL63" s="451"/>
    </row>
    <row r="64" spans="1:116" customFormat="1" ht="12.75" customHeight="1" x14ac:dyDescent="0.25">
      <c r="A64" s="170"/>
      <c r="B64" s="170"/>
      <c r="C64" s="170"/>
      <c r="D64" s="170"/>
      <c r="E64" s="170"/>
      <c r="F64" s="170"/>
      <c r="G64" s="170"/>
      <c r="H64" s="170"/>
      <c r="I64" s="170"/>
      <c r="J64" s="170"/>
      <c r="K64" s="170"/>
      <c r="L64" s="170"/>
      <c r="M64" s="170"/>
      <c r="CQ64" s="442"/>
      <c r="CR64" s="77"/>
      <c r="CS64" s="77"/>
      <c r="CT64" s="77"/>
      <c r="CU64" s="77"/>
      <c r="CY64" s="452">
        <v>2025</v>
      </c>
      <c r="CZ64" s="450">
        <f t="shared" si="4"/>
        <v>3.0449999999999964</v>
      </c>
      <c r="DA64" s="450">
        <v>3.2949999999999999</v>
      </c>
      <c r="DC64" s="451"/>
      <c r="DD64" s="451">
        <v>545000</v>
      </c>
      <c r="DE64" s="451"/>
      <c r="DF64" s="451">
        <v>26850000</v>
      </c>
      <c r="DG64" s="451"/>
      <c r="DH64" s="451">
        <v>26850000</v>
      </c>
      <c r="DI64" s="451"/>
      <c r="DJ64" s="451">
        <v>27395000</v>
      </c>
      <c r="DK64" s="451"/>
      <c r="DL64" s="451">
        <v>54245000</v>
      </c>
    </row>
    <row r="65" spans="1:105" customFormat="1" ht="12.75" customHeight="1" x14ac:dyDescent="0.25">
      <c r="A65" s="170"/>
      <c r="B65" s="170"/>
      <c r="C65" s="170"/>
      <c r="D65" s="170"/>
      <c r="E65" s="170"/>
      <c r="F65" s="170"/>
      <c r="G65" s="170"/>
      <c r="H65" s="170"/>
      <c r="I65" s="170"/>
      <c r="J65" s="170"/>
      <c r="K65" s="170"/>
      <c r="L65" s="170"/>
      <c r="M65" s="170"/>
      <c r="CQ65" s="442"/>
      <c r="CR65" s="77"/>
      <c r="CS65" s="77"/>
      <c r="CT65" s="77"/>
      <c r="CU65" s="77"/>
      <c r="CY65" s="452">
        <v>2026</v>
      </c>
      <c r="CZ65" s="450">
        <f>CZ64-DA65</f>
        <v>-0.33000000000000362</v>
      </c>
      <c r="DA65" s="450">
        <v>3.375</v>
      </c>
    </row>
    <row r="66" spans="1:105" customFormat="1" ht="18" customHeight="1" x14ac:dyDescent="0.25">
      <c r="A66" s="170"/>
      <c r="B66" s="170"/>
      <c r="C66" s="170"/>
      <c r="D66" s="170"/>
      <c r="E66" s="170"/>
      <c r="F66" s="170"/>
      <c r="G66" s="170"/>
      <c r="H66" s="170"/>
      <c r="I66" s="170"/>
      <c r="J66" s="170"/>
      <c r="K66" s="170"/>
      <c r="L66" s="170"/>
      <c r="M66" s="170"/>
      <c r="CQ66" s="442"/>
      <c r="CV66" s="442"/>
    </row>
    <row r="67" spans="1:105" customFormat="1" ht="63.75" customHeight="1" x14ac:dyDescent="0.25">
      <c r="A67" s="170"/>
      <c r="B67" s="170"/>
      <c r="C67" s="170"/>
      <c r="D67" s="170"/>
      <c r="E67" s="170"/>
      <c r="F67" s="170"/>
      <c r="G67" s="170"/>
      <c r="H67" s="170"/>
      <c r="I67" s="170"/>
      <c r="J67" s="170"/>
      <c r="K67" s="170"/>
      <c r="L67" s="170"/>
      <c r="M67" s="170"/>
      <c r="CQ67" s="442"/>
      <c r="CV67" s="442"/>
    </row>
    <row r="68" spans="1:105" customFormat="1" ht="80.25" customHeight="1" x14ac:dyDescent="0.25">
      <c r="A68" s="170"/>
      <c r="B68" s="170"/>
      <c r="C68" s="170"/>
      <c r="D68" s="170"/>
      <c r="E68" s="170"/>
      <c r="F68" s="170"/>
      <c r="G68" s="170"/>
      <c r="H68" s="170"/>
      <c r="I68" s="170"/>
      <c r="J68" s="170"/>
      <c r="K68" s="170"/>
      <c r="L68" s="170"/>
      <c r="M68" s="170"/>
      <c r="CQ68" s="442"/>
      <c r="CV68" s="442"/>
    </row>
    <row r="69" spans="1:105" s="557" customFormat="1" ht="80.25" customHeight="1" x14ac:dyDescent="0.25">
      <c r="A69" s="170"/>
      <c r="B69" s="170"/>
      <c r="C69" s="170"/>
      <c r="D69" s="170"/>
      <c r="E69" s="170"/>
      <c r="F69" s="170"/>
      <c r="G69" s="170"/>
      <c r="H69" s="170"/>
      <c r="I69" s="170"/>
      <c r="J69" s="170"/>
      <c r="K69" s="170"/>
      <c r="L69" s="170"/>
      <c r="M69" s="170"/>
      <c r="CQ69" s="442"/>
      <c r="CV69" s="442"/>
    </row>
    <row r="70" spans="1:105" s="557" customFormat="1" ht="80.25" customHeight="1" x14ac:dyDescent="0.25">
      <c r="A70" s="170"/>
      <c r="B70" s="170"/>
      <c r="C70" s="170"/>
      <c r="D70" s="170"/>
      <c r="E70" s="170"/>
      <c r="F70" s="170"/>
      <c r="G70" s="170"/>
      <c r="H70" s="170"/>
      <c r="I70" s="170"/>
      <c r="J70" s="170"/>
      <c r="K70" s="170"/>
      <c r="L70" s="170"/>
      <c r="M70" s="170"/>
      <c r="CQ70" s="442"/>
      <c r="CV70" s="442"/>
    </row>
    <row r="71" spans="1:105" s="557" customFormat="1" ht="80.25" customHeight="1" x14ac:dyDescent="0.25">
      <c r="A71" s="170"/>
      <c r="B71" s="170"/>
      <c r="C71" s="170"/>
      <c r="D71" s="170"/>
      <c r="E71" s="170"/>
      <c r="F71" s="170"/>
      <c r="G71" s="170"/>
      <c r="H71" s="170"/>
      <c r="I71" s="170"/>
      <c r="J71" s="170"/>
      <c r="K71" s="170"/>
      <c r="L71" s="170"/>
      <c r="M71" s="170"/>
      <c r="CQ71" s="442"/>
      <c r="CV71" s="442"/>
    </row>
    <row r="72" spans="1:105" s="557" customFormat="1" ht="57.75" customHeight="1" x14ac:dyDescent="0.25">
      <c r="A72" s="170"/>
      <c r="B72" s="170"/>
      <c r="C72" s="170"/>
      <c r="D72" s="170"/>
      <c r="E72" s="170"/>
      <c r="F72" s="170"/>
      <c r="G72" s="170"/>
      <c r="H72" s="170"/>
      <c r="I72" s="170"/>
      <c r="J72" s="170"/>
      <c r="K72" s="170"/>
      <c r="L72" s="170"/>
      <c r="M72" s="170"/>
      <c r="CQ72" s="442"/>
      <c r="CV72" s="442"/>
    </row>
    <row r="73" spans="1:105" s="545" customFormat="1" ht="27.75" customHeight="1" x14ac:dyDescent="0.25">
      <c r="A73" s="578"/>
      <c r="B73" s="578"/>
      <c r="C73" s="578"/>
      <c r="D73" s="578"/>
      <c r="E73" s="578"/>
      <c r="F73" s="578"/>
      <c r="G73" s="578"/>
      <c r="H73" s="578"/>
      <c r="I73" s="578"/>
      <c r="J73" s="578"/>
      <c r="K73" s="578"/>
      <c r="L73" s="578"/>
      <c r="M73" s="578"/>
      <c r="CQ73" s="579"/>
      <c r="CV73" s="579"/>
    </row>
    <row r="74" spans="1:105" s="557" customFormat="1" ht="47.25" customHeight="1" x14ac:dyDescent="0.25">
      <c r="A74" s="582" t="s">
        <v>413</v>
      </c>
      <c r="E74" s="578"/>
      <c r="F74" s="578"/>
      <c r="G74" s="578"/>
      <c r="H74" s="578"/>
      <c r="I74" s="578"/>
      <c r="J74" s="578"/>
      <c r="K74" s="578"/>
      <c r="L74" s="578"/>
      <c r="M74" s="578"/>
      <c r="CQ74" s="442"/>
      <c r="CV74" s="442"/>
    </row>
    <row r="75" spans="1:105" ht="36.75" customHeight="1" thickBot="1" x14ac:dyDescent="0.3">
      <c r="A75" s="225">
        <v>41773</v>
      </c>
      <c r="B75" s="872" t="s">
        <v>145</v>
      </c>
      <c r="C75" s="872"/>
      <c r="D75" s="872"/>
      <c r="E75" s="872"/>
      <c r="F75" s="872"/>
      <c r="G75" s="872"/>
      <c r="H75" s="872"/>
      <c r="I75" s="872"/>
      <c r="J75" s="872"/>
      <c r="K75" s="872"/>
      <c r="L75" s="872"/>
      <c r="M75" s="872"/>
      <c r="N75"/>
      <c r="O75"/>
      <c r="P75"/>
      <c r="Q75"/>
      <c r="R75"/>
      <c r="S75"/>
    </row>
    <row r="76" spans="1:105" s="75" customFormat="1" ht="81" customHeight="1" thickTop="1" x14ac:dyDescent="0.25">
      <c r="A76" s="223" t="s">
        <v>89</v>
      </c>
      <c r="B76" s="223" t="s">
        <v>90</v>
      </c>
      <c r="C76" s="223" t="s">
        <v>0</v>
      </c>
      <c r="D76" s="223" t="s">
        <v>124</v>
      </c>
      <c r="E76" s="223" t="s">
        <v>211</v>
      </c>
      <c r="F76" s="223" t="s">
        <v>13</v>
      </c>
      <c r="G76" s="223" t="s">
        <v>178</v>
      </c>
      <c r="H76" s="223" t="s">
        <v>12</v>
      </c>
      <c r="I76" s="223" t="s">
        <v>147</v>
      </c>
      <c r="J76" s="223" t="s">
        <v>148</v>
      </c>
      <c r="K76" s="223" t="s">
        <v>329</v>
      </c>
      <c r="L76" s="223" t="s">
        <v>330</v>
      </c>
      <c r="M76" s="221" t="s">
        <v>181</v>
      </c>
      <c r="N76"/>
      <c r="O76"/>
      <c r="P76"/>
      <c r="Q76"/>
      <c r="R76"/>
      <c r="S76"/>
      <c r="CQ76" s="443"/>
      <c r="CV76" s="443"/>
    </row>
    <row r="77" spans="1:105" ht="36.75" customHeight="1" x14ac:dyDescent="0.25">
      <c r="A77" s="146" t="s">
        <v>84</v>
      </c>
      <c r="B77" s="146" t="s">
        <v>3</v>
      </c>
      <c r="C77" s="146" t="s">
        <v>307</v>
      </c>
      <c r="D77" s="146" t="s">
        <v>307</v>
      </c>
      <c r="E77" s="150" t="str">
        <f t="shared" ref="E77:E81" si="5">CV77&amp;" \ "&amp;CW77</f>
        <v>A- \ Baa2</v>
      </c>
      <c r="F77" s="150" t="s">
        <v>14</v>
      </c>
      <c r="G77" s="409">
        <v>44423</v>
      </c>
      <c r="H77" s="150" t="s">
        <v>23</v>
      </c>
      <c r="I77" s="370">
        <v>143.66999999999999</v>
      </c>
      <c r="J77" s="370">
        <v>110.75</v>
      </c>
      <c r="K77" s="370">
        <v>11.67</v>
      </c>
      <c r="L77" s="370">
        <v>13.23</v>
      </c>
      <c r="M77" s="375"/>
      <c r="N77"/>
      <c r="O77"/>
      <c r="P77"/>
      <c r="Q77"/>
      <c r="R77"/>
      <c r="S77"/>
      <c r="CV77" s="441" t="s">
        <v>120</v>
      </c>
      <c r="CW77" s="77" t="s">
        <v>45</v>
      </c>
    </row>
    <row r="78" spans="1:105" s="97" customFormat="1" ht="36.75" customHeight="1" x14ac:dyDescent="0.25">
      <c r="A78" s="147" t="s">
        <v>84</v>
      </c>
      <c r="B78" s="147" t="s">
        <v>3</v>
      </c>
      <c r="C78" s="147" t="s">
        <v>307</v>
      </c>
      <c r="D78" s="147" t="s">
        <v>307</v>
      </c>
      <c r="E78" s="407" t="str">
        <f t="shared" si="5"/>
        <v>A- \ Baa2</v>
      </c>
      <c r="F78" s="407" t="s">
        <v>14</v>
      </c>
      <c r="G78" s="537">
        <v>44576</v>
      </c>
      <c r="H78" s="407" t="s">
        <v>24</v>
      </c>
      <c r="I78" s="538">
        <v>27.4</v>
      </c>
      <c r="J78" s="538">
        <v>23.6</v>
      </c>
      <c r="K78" s="538">
        <v>3</v>
      </c>
      <c r="L78" s="538">
        <v>3.13</v>
      </c>
      <c r="M78" s="376"/>
      <c r="N78"/>
      <c r="O78"/>
      <c r="P78"/>
      <c r="Q78"/>
      <c r="R78"/>
      <c r="S78"/>
      <c r="CQ78" s="444"/>
      <c r="CV78" s="444" t="s">
        <v>120</v>
      </c>
      <c r="CW78" s="97" t="s">
        <v>45</v>
      </c>
    </row>
    <row r="79" spans="1:105" ht="36.75" customHeight="1" x14ac:dyDescent="0.25">
      <c r="A79" s="146" t="s">
        <v>84</v>
      </c>
      <c r="B79" s="146" t="s">
        <v>3</v>
      </c>
      <c r="C79" s="146" t="s">
        <v>308</v>
      </c>
      <c r="D79" s="146" t="s">
        <v>308</v>
      </c>
      <c r="E79" s="150" t="str">
        <f t="shared" si="5"/>
        <v>A+ \ Aa3</v>
      </c>
      <c r="F79" s="150" t="s">
        <v>14</v>
      </c>
      <c r="G79" s="409">
        <v>44576</v>
      </c>
      <c r="H79" s="150" t="s">
        <v>24</v>
      </c>
      <c r="I79" s="370">
        <v>26.85</v>
      </c>
      <c r="J79" s="370">
        <v>23.18</v>
      </c>
      <c r="K79" s="370">
        <v>2.94</v>
      </c>
      <c r="L79" s="370">
        <v>3.07</v>
      </c>
      <c r="M79" s="375"/>
      <c r="N79"/>
      <c r="O79"/>
      <c r="P79"/>
      <c r="Q79"/>
      <c r="R79"/>
      <c r="S79"/>
      <c r="CV79" s="441" t="s">
        <v>39</v>
      </c>
      <c r="CW79" s="77" t="s">
        <v>38</v>
      </c>
    </row>
    <row r="80" spans="1:105" s="97" customFormat="1" ht="36.75" customHeight="1" thickBot="1" x14ac:dyDescent="0.3">
      <c r="A80" s="147" t="s">
        <v>84</v>
      </c>
      <c r="B80" s="147" t="s">
        <v>3</v>
      </c>
      <c r="C80" s="147" t="s">
        <v>309</v>
      </c>
      <c r="D80" s="147" t="s">
        <v>125</v>
      </c>
      <c r="E80" s="407" t="str">
        <f t="shared" si="5"/>
        <v>A \ A2</v>
      </c>
      <c r="F80" s="407" t="s">
        <v>14</v>
      </c>
      <c r="G80" s="537">
        <v>46296</v>
      </c>
      <c r="H80" s="407" t="s">
        <v>25</v>
      </c>
      <c r="I80" s="538">
        <v>40.880000000000003</v>
      </c>
      <c r="J80" s="538">
        <v>35.590000000000003</v>
      </c>
      <c r="K80" s="538">
        <v>4.3899999999999997</v>
      </c>
      <c r="L80" s="538">
        <v>4.72</v>
      </c>
      <c r="M80" s="376"/>
      <c r="N80"/>
      <c r="O80"/>
      <c r="P80"/>
      <c r="Q80"/>
      <c r="R80"/>
      <c r="S80"/>
      <c r="CQ80" s="444"/>
      <c r="CV80" s="444" t="s">
        <v>40</v>
      </c>
      <c r="CW80" s="97" t="s">
        <v>42</v>
      </c>
    </row>
    <row r="81" spans="1:93" ht="36.75" customHeight="1" thickTop="1" thickBot="1" x14ac:dyDescent="0.3">
      <c r="A81" s="146"/>
      <c r="B81" s="146"/>
      <c r="C81" s="371" t="s">
        <v>213</v>
      </c>
      <c r="D81" s="372"/>
      <c r="E81" s="475" t="str">
        <f t="shared" si="5"/>
        <v xml:space="preserve"> \ </v>
      </c>
      <c r="F81" s="410"/>
      <c r="G81" s="410"/>
      <c r="H81" s="410"/>
      <c r="I81" s="539">
        <f t="shared" ref="I81:L81" si="6">SUM(I77:I80)</f>
        <v>238.79999999999998</v>
      </c>
      <c r="J81" s="539">
        <f t="shared" si="6"/>
        <v>193.12</v>
      </c>
      <c r="K81" s="539">
        <f t="shared" si="6"/>
        <v>22</v>
      </c>
      <c r="L81" s="539">
        <f t="shared" si="6"/>
        <v>24.15</v>
      </c>
      <c r="M81" s="377"/>
      <c r="N81"/>
      <c r="O81"/>
      <c r="P81"/>
      <c r="Q81"/>
      <c r="R81"/>
      <c r="S81"/>
    </row>
    <row r="82" spans="1:93" ht="36.75" customHeight="1" thickTop="1" x14ac:dyDescent="0.25">
      <c r="A82" s="147"/>
      <c r="B82" s="147"/>
      <c r="C82" s="147"/>
      <c r="D82" s="147"/>
      <c r="E82" s="407"/>
      <c r="F82" s="407"/>
      <c r="G82" s="407"/>
      <c r="H82" s="407"/>
      <c r="I82" s="376"/>
      <c r="J82" s="376"/>
      <c r="K82" s="376"/>
      <c r="L82" s="376"/>
      <c r="M82" s="376"/>
      <c r="N82"/>
      <c r="O82"/>
      <c r="P82"/>
      <c r="Q82"/>
      <c r="R82"/>
      <c r="S82"/>
      <c r="CO82" s="77">
        <f>600*0.4</f>
        <v>240</v>
      </c>
    </row>
    <row r="83" spans="1:93" ht="36.75" customHeight="1" x14ac:dyDescent="0.25">
      <c r="A83" s="146"/>
      <c r="B83" s="146"/>
      <c r="C83" s="146"/>
      <c r="D83" s="146"/>
      <c r="E83" s="150"/>
      <c r="F83" s="150"/>
      <c r="G83" s="150"/>
      <c r="H83" s="150"/>
      <c r="I83" s="375"/>
      <c r="J83" s="375"/>
      <c r="K83" s="375"/>
      <c r="L83" s="375"/>
      <c r="M83" s="375"/>
      <c r="N83"/>
      <c r="O83"/>
      <c r="P83"/>
      <c r="Q83"/>
      <c r="R83"/>
      <c r="S83"/>
    </row>
    <row r="84" spans="1:93" ht="36.75" customHeight="1" x14ac:dyDescent="0.25">
      <c r="A84" s="147"/>
      <c r="B84" s="147"/>
      <c r="C84" s="147"/>
      <c r="D84" s="147"/>
      <c r="E84" s="407"/>
      <c r="F84" s="407"/>
      <c r="G84" s="407"/>
      <c r="H84" s="407"/>
      <c r="I84" s="376"/>
      <c r="J84" s="376"/>
      <c r="K84" s="376"/>
      <c r="L84" s="376"/>
      <c r="M84" s="376"/>
      <c r="N84"/>
      <c r="O84"/>
      <c r="P84"/>
      <c r="Q84"/>
      <c r="R84"/>
      <c r="S84"/>
    </row>
    <row r="85" spans="1:93" ht="36.75" customHeight="1" x14ac:dyDescent="0.25">
      <c r="A85" s="146"/>
      <c r="B85" s="146"/>
      <c r="C85" s="146"/>
      <c r="D85" s="146"/>
      <c r="E85" s="150"/>
      <c r="F85" s="150"/>
      <c r="G85" s="150"/>
      <c r="H85" s="150"/>
      <c r="I85" s="375"/>
      <c r="J85" s="375"/>
      <c r="K85" s="375"/>
      <c r="L85" s="375"/>
      <c r="M85" s="375"/>
      <c r="N85"/>
      <c r="O85"/>
      <c r="P85"/>
      <c r="Q85"/>
      <c r="R85"/>
      <c r="S85"/>
    </row>
    <row r="86" spans="1:93" ht="36.75" customHeight="1" x14ac:dyDescent="0.25">
      <c r="A86" s="147"/>
      <c r="B86" s="147"/>
      <c r="C86" s="147"/>
      <c r="D86" s="147"/>
      <c r="E86" s="407"/>
      <c r="F86" s="407"/>
      <c r="G86" s="407"/>
      <c r="H86" s="407"/>
      <c r="I86" s="376"/>
      <c r="J86" s="376"/>
      <c r="K86" s="376"/>
      <c r="L86" s="376"/>
      <c r="M86" s="376"/>
      <c r="N86"/>
      <c r="O86"/>
      <c r="P86"/>
      <c r="Q86"/>
      <c r="R86"/>
      <c r="S86"/>
    </row>
    <row r="87" spans="1:93" ht="36.75" customHeight="1" x14ac:dyDescent="0.25">
      <c r="A87" s="146"/>
      <c r="B87" s="146"/>
      <c r="C87" s="146"/>
      <c r="D87" s="146"/>
      <c r="E87" s="150"/>
      <c r="F87" s="150"/>
      <c r="G87" s="150"/>
      <c r="H87" s="150"/>
      <c r="I87" s="375"/>
      <c r="J87" s="375"/>
      <c r="K87" s="375"/>
      <c r="L87" s="375"/>
      <c r="M87" s="375"/>
      <c r="N87"/>
      <c r="O87"/>
      <c r="P87"/>
      <c r="Q87"/>
      <c r="R87"/>
      <c r="S87"/>
    </row>
    <row r="88" spans="1:93" ht="36.75" customHeight="1" x14ac:dyDescent="0.25">
      <c r="A88" s="147"/>
      <c r="B88" s="147"/>
      <c r="C88" s="147"/>
      <c r="D88" s="147"/>
      <c r="E88" s="407"/>
      <c r="F88" s="407"/>
      <c r="G88" s="407"/>
      <c r="H88" s="407"/>
      <c r="I88" s="376"/>
      <c r="J88" s="376"/>
      <c r="K88" s="376"/>
      <c r="L88" s="376"/>
      <c r="M88" s="376"/>
      <c r="N88"/>
      <c r="O88"/>
      <c r="P88"/>
      <c r="Q88"/>
      <c r="R88"/>
      <c r="S88"/>
    </row>
    <row r="89" spans="1:93" ht="36.75" customHeight="1" x14ac:dyDescent="0.25">
      <c r="A89" s="146"/>
      <c r="B89" s="146"/>
      <c r="C89" s="146"/>
      <c r="D89" s="146"/>
      <c r="E89" s="150"/>
      <c r="F89" s="150"/>
      <c r="G89" s="150"/>
      <c r="H89" s="150"/>
      <c r="I89" s="375"/>
      <c r="J89" s="375"/>
      <c r="K89" s="375"/>
      <c r="L89" s="375"/>
      <c r="M89" s="375"/>
      <c r="N89"/>
      <c r="O89"/>
      <c r="P89"/>
      <c r="Q89"/>
      <c r="R89"/>
      <c r="S89"/>
    </row>
    <row r="90" spans="1:93" ht="36.75" customHeight="1" x14ac:dyDescent="0.25">
      <c r="A90" s="147"/>
      <c r="B90" s="147"/>
      <c r="C90" s="147"/>
      <c r="D90" s="147"/>
      <c r="E90" s="407"/>
      <c r="F90" s="407"/>
      <c r="G90" s="407"/>
      <c r="H90" s="407"/>
      <c r="I90" s="376"/>
      <c r="J90" s="376"/>
      <c r="K90" s="376"/>
      <c r="L90" s="376"/>
      <c r="M90" s="376"/>
      <c r="N90"/>
      <c r="O90"/>
      <c r="P90"/>
      <c r="Q90"/>
      <c r="R90"/>
      <c r="S90"/>
    </row>
    <row r="91" spans="1:93" ht="36.75" customHeight="1" x14ac:dyDescent="0.25">
      <c r="A91" s="146"/>
      <c r="B91" s="146"/>
      <c r="C91" s="146"/>
      <c r="D91" s="146"/>
      <c r="E91" s="150"/>
      <c r="F91" s="150"/>
      <c r="G91" s="150"/>
      <c r="H91" s="150"/>
      <c r="I91" s="375"/>
      <c r="J91" s="375"/>
      <c r="K91" s="375"/>
      <c r="L91" s="375"/>
      <c r="M91" s="375"/>
      <c r="N91"/>
      <c r="O91"/>
      <c r="P91"/>
      <c r="Q91"/>
      <c r="R91"/>
      <c r="S91"/>
    </row>
    <row r="92" spans="1:93" ht="36.75" customHeight="1" x14ac:dyDescent="0.25">
      <c r="A92" s="147"/>
      <c r="B92" s="147"/>
      <c r="C92" s="147"/>
      <c r="D92" s="147"/>
      <c r="E92" s="407"/>
      <c r="F92" s="407"/>
      <c r="G92" s="407"/>
      <c r="H92" s="407"/>
      <c r="I92" s="376"/>
      <c r="J92" s="376"/>
      <c r="K92" s="376"/>
      <c r="L92" s="376"/>
      <c r="M92" s="376"/>
      <c r="N92"/>
      <c r="O92"/>
      <c r="P92"/>
      <c r="Q92"/>
      <c r="R92"/>
      <c r="S92"/>
    </row>
    <row r="93" spans="1:93" ht="36.75" customHeight="1" x14ac:dyDescent="0.25">
      <c r="A93" s="146"/>
      <c r="B93" s="146"/>
      <c r="C93" s="146"/>
      <c r="D93" s="146"/>
      <c r="E93" s="150"/>
      <c r="F93" s="150"/>
      <c r="G93" s="150"/>
      <c r="H93" s="150"/>
      <c r="I93" s="375"/>
      <c r="J93" s="375"/>
      <c r="K93" s="375"/>
      <c r="L93" s="375"/>
      <c r="M93" s="375"/>
      <c r="N93"/>
      <c r="O93"/>
      <c r="P93"/>
      <c r="Q93"/>
      <c r="R93"/>
      <c r="S93"/>
    </row>
    <row r="94" spans="1:93" ht="36.75" customHeight="1" x14ac:dyDescent="0.25">
      <c r="A94" s="147"/>
      <c r="B94" s="147"/>
      <c r="C94" s="147"/>
      <c r="D94" s="147"/>
      <c r="E94" s="407"/>
      <c r="F94" s="407"/>
      <c r="G94" s="407"/>
      <c r="H94" s="407"/>
      <c r="I94" s="376"/>
      <c r="J94" s="376"/>
      <c r="K94" s="376"/>
      <c r="L94" s="376"/>
      <c r="M94" s="376"/>
      <c r="N94"/>
      <c r="O94"/>
      <c r="P94"/>
      <c r="Q94"/>
      <c r="R94"/>
      <c r="S94"/>
    </row>
    <row r="95" spans="1:93" ht="36.75" customHeight="1" x14ac:dyDescent="0.25">
      <c r="A95" s="146"/>
      <c r="B95" s="146"/>
      <c r="C95" s="146"/>
      <c r="D95" s="146"/>
      <c r="E95" s="150"/>
      <c r="F95" s="150"/>
      <c r="G95" s="150"/>
      <c r="H95" s="150"/>
      <c r="I95" s="375"/>
      <c r="J95" s="375"/>
      <c r="K95" s="375"/>
      <c r="L95" s="375"/>
      <c r="M95" s="375"/>
      <c r="N95"/>
      <c r="O95"/>
      <c r="P95"/>
      <c r="Q95"/>
      <c r="R95"/>
      <c r="S95"/>
    </row>
    <row r="96" spans="1:93" ht="36.75" customHeight="1" x14ac:dyDescent="0.25">
      <c r="A96" s="147"/>
      <c r="B96" s="147"/>
      <c r="C96" s="147"/>
      <c r="D96" s="147"/>
      <c r="E96" s="407"/>
      <c r="F96" s="407"/>
      <c r="G96" s="407"/>
      <c r="H96" s="407"/>
      <c r="I96" s="376"/>
      <c r="J96" s="376"/>
      <c r="K96" s="376"/>
      <c r="L96" s="376"/>
      <c r="M96" s="376"/>
      <c r="N96"/>
      <c r="O96"/>
      <c r="P96"/>
      <c r="Q96"/>
      <c r="R96"/>
      <c r="S96"/>
    </row>
    <row r="97" spans="1:101" ht="36.75" customHeight="1" x14ac:dyDescent="0.25">
      <c r="A97" s="146"/>
      <c r="B97" s="146"/>
      <c r="C97" s="146"/>
      <c r="D97" s="146"/>
      <c r="E97" s="150"/>
      <c r="F97" s="150"/>
      <c r="G97" s="150"/>
      <c r="H97" s="150"/>
      <c r="I97" s="375"/>
      <c r="J97" s="375"/>
      <c r="K97" s="375"/>
      <c r="L97" s="375"/>
      <c r="M97" s="375"/>
      <c r="N97"/>
      <c r="O97"/>
      <c r="P97"/>
      <c r="Q97"/>
      <c r="R97"/>
      <c r="S97"/>
    </row>
    <row r="98" spans="1:101" ht="36.75" customHeight="1" x14ac:dyDescent="0.25">
      <c r="A98" s="147"/>
      <c r="B98" s="147"/>
      <c r="C98" s="147"/>
      <c r="D98" s="147"/>
      <c r="E98" s="407"/>
      <c r="F98" s="407"/>
      <c r="G98" s="407"/>
      <c r="H98" s="407"/>
      <c r="I98" s="376"/>
      <c r="J98" s="376"/>
      <c r="K98" s="376"/>
      <c r="L98" s="376"/>
      <c r="M98" s="376"/>
      <c r="N98"/>
      <c r="O98"/>
      <c r="P98"/>
      <c r="Q98"/>
      <c r="R98"/>
      <c r="S98"/>
    </row>
    <row r="99" spans="1:101" ht="36.75" customHeight="1" thickBot="1" x14ac:dyDescent="0.3">
      <c r="A99" s="225">
        <v>41773</v>
      </c>
      <c r="B99" s="872" t="s">
        <v>196</v>
      </c>
      <c r="C99" s="872"/>
      <c r="D99" s="872"/>
      <c r="E99" s="872"/>
      <c r="F99" s="872"/>
      <c r="G99" s="872"/>
      <c r="H99" s="872"/>
      <c r="I99" s="872"/>
      <c r="J99" s="872"/>
      <c r="K99" s="872"/>
      <c r="L99" s="872"/>
      <c r="M99" s="872"/>
      <c r="N99"/>
      <c r="O99"/>
      <c r="P99"/>
      <c r="Q99"/>
      <c r="R99"/>
      <c r="S99"/>
    </row>
    <row r="100" spans="1:101" s="75" customFormat="1" ht="81" customHeight="1" thickTop="1" x14ac:dyDescent="0.3">
      <c r="A100" s="158" t="s">
        <v>89</v>
      </c>
      <c r="B100" s="158" t="s">
        <v>90</v>
      </c>
      <c r="C100" s="158" t="s">
        <v>0</v>
      </c>
      <c r="D100" s="158" t="s">
        <v>124</v>
      </c>
      <c r="E100" s="221" t="s">
        <v>184</v>
      </c>
      <c r="F100" s="158" t="s">
        <v>13</v>
      </c>
      <c r="G100" s="158" t="s">
        <v>178</v>
      </c>
      <c r="H100" s="158" t="s">
        <v>12</v>
      </c>
      <c r="I100" s="158" t="s">
        <v>150</v>
      </c>
      <c r="J100" s="158" t="s">
        <v>157</v>
      </c>
      <c r="K100" s="223" t="s">
        <v>329</v>
      </c>
      <c r="L100" s="223" t="s">
        <v>330</v>
      </c>
      <c r="M100" s="221" t="s">
        <v>181</v>
      </c>
      <c r="N100"/>
      <c r="O100"/>
      <c r="P100"/>
      <c r="Q100"/>
      <c r="R100"/>
      <c r="S100"/>
      <c r="CQ100" s="443"/>
      <c r="CV100" s="443"/>
    </row>
    <row r="101" spans="1:101" ht="36.75" customHeight="1" x14ac:dyDescent="0.25">
      <c r="A101" s="146" t="s">
        <v>8</v>
      </c>
      <c r="B101" s="146" t="s">
        <v>7</v>
      </c>
      <c r="C101" s="146" t="s">
        <v>239</v>
      </c>
      <c r="D101" s="146" t="s">
        <v>238</v>
      </c>
      <c r="E101" s="150" t="str">
        <f t="shared" ref="E101:E105" si="7">CV101&amp;" \ "&amp;CW101</f>
        <v>BBB+ \ Baa1</v>
      </c>
      <c r="F101" s="150" t="s">
        <v>22</v>
      </c>
      <c r="G101" s="409">
        <v>41820</v>
      </c>
      <c r="H101" s="150" t="s">
        <v>132</v>
      </c>
      <c r="I101" s="370">
        <v>19.27</v>
      </c>
      <c r="J101" s="370">
        <v>1.06</v>
      </c>
      <c r="K101" s="375"/>
      <c r="L101" s="375"/>
      <c r="M101" s="375"/>
      <c r="N101"/>
      <c r="O101"/>
      <c r="P101"/>
      <c r="Q101"/>
      <c r="R101"/>
      <c r="S101"/>
      <c r="CV101" s="441" t="s">
        <v>32</v>
      </c>
      <c r="CW101" s="77" t="s">
        <v>44</v>
      </c>
    </row>
    <row r="102" spans="1:101" ht="36.75" customHeight="1" x14ac:dyDescent="0.25">
      <c r="A102" s="147" t="s">
        <v>8</v>
      </c>
      <c r="B102" s="147" t="s">
        <v>193</v>
      </c>
      <c r="C102" s="147" t="s">
        <v>239</v>
      </c>
      <c r="D102" s="147" t="s">
        <v>238</v>
      </c>
      <c r="E102" s="407" t="str">
        <f t="shared" si="7"/>
        <v>BBB+ \ Baa1</v>
      </c>
      <c r="F102" s="407" t="s">
        <v>22</v>
      </c>
      <c r="G102" s="537">
        <v>42185</v>
      </c>
      <c r="H102" s="407" t="s">
        <v>133</v>
      </c>
      <c r="I102" s="538">
        <v>13.91</v>
      </c>
      <c r="J102" s="538">
        <v>13.91</v>
      </c>
      <c r="K102" s="376"/>
      <c r="L102" s="376"/>
      <c r="M102" s="376"/>
      <c r="N102"/>
      <c r="O102"/>
      <c r="P102"/>
      <c r="Q102"/>
      <c r="R102"/>
      <c r="S102"/>
      <c r="CV102" s="441" t="s">
        <v>32</v>
      </c>
      <c r="CW102" s="77" t="s">
        <v>44</v>
      </c>
    </row>
    <row r="103" spans="1:101" ht="36.75" customHeight="1" x14ac:dyDescent="0.25">
      <c r="A103" s="146" t="s">
        <v>8</v>
      </c>
      <c r="B103" s="146" t="s">
        <v>193</v>
      </c>
      <c r="C103" s="146" t="s">
        <v>239</v>
      </c>
      <c r="D103" s="146" t="s">
        <v>238</v>
      </c>
      <c r="E103" s="150" t="str">
        <f t="shared" si="7"/>
        <v>BBB+ \ Baa1</v>
      </c>
      <c r="F103" s="150" t="s">
        <v>22</v>
      </c>
      <c r="G103" s="409">
        <v>42551</v>
      </c>
      <c r="H103" s="150" t="s">
        <v>300</v>
      </c>
      <c r="I103" s="370">
        <v>2.27</v>
      </c>
      <c r="J103" s="370">
        <v>2.27</v>
      </c>
      <c r="K103" s="375"/>
      <c r="L103" s="375"/>
      <c r="M103" s="375"/>
      <c r="N103"/>
      <c r="O103"/>
      <c r="P103"/>
      <c r="Q103"/>
      <c r="R103"/>
      <c r="S103"/>
      <c r="CV103" s="441" t="s">
        <v>32</v>
      </c>
      <c r="CW103" s="77" t="s">
        <v>44</v>
      </c>
    </row>
    <row r="104" spans="1:101" s="269" customFormat="1" ht="36.75" customHeight="1" thickBot="1" x14ac:dyDescent="0.3">
      <c r="A104" s="147" t="s">
        <v>8</v>
      </c>
      <c r="B104" s="147" t="s">
        <v>193</v>
      </c>
      <c r="C104" s="147" t="s">
        <v>239</v>
      </c>
      <c r="D104" s="147" t="s">
        <v>238</v>
      </c>
      <c r="E104" s="407" t="str">
        <f t="shared" si="7"/>
        <v>BBB+ \ Baa1</v>
      </c>
      <c r="F104" s="407" t="s">
        <v>22</v>
      </c>
      <c r="G104" s="537">
        <v>42916</v>
      </c>
      <c r="H104" s="407" t="s">
        <v>345</v>
      </c>
      <c r="I104" s="538">
        <v>0</v>
      </c>
      <c r="J104" s="538">
        <v>0</v>
      </c>
      <c r="K104" s="376"/>
      <c r="L104" s="376"/>
      <c r="M104" s="376"/>
      <c r="N104"/>
      <c r="O104"/>
      <c r="P104"/>
      <c r="Q104"/>
      <c r="R104"/>
      <c r="S104"/>
      <c r="CQ104" s="445"/>
      <c r="CV104" s="445" t="s">
        <v>32</v>
      </c>
      <c r="CW104" s="77" t="s">
        <v>44</v>
      </c>
    </row>
    <row r="105" spans="1:101" s="270" customFormat="1" ht="36.75" customHeight="1" thickTop="1" thickBot="1" x14ac:dyDescent="0.3">
      <c r="A105" s="146"/>
      <c r="B105" s="146"/>
      <c r="C105" s="371" t="s">
        <v>305</v>
      </c>
      <c r="D105" s="372"/>
      <c r="E105" s="475" t="str">
        <f t="shared" si="7"/>
        <v xml:space="preserve"> \ </v>
      </c>
      <c r="F105" s="410"/>
      <c r="G105" s="410" t="s">
        <v>206</v>
      </c>
      <c r="H105" s="410"/>
      <c r="I105" s="539">
        <v>35.450000000000003</v>
      </c>
      <c r="J105" s="539">
        <v>17.239999999999998</v>
      </c>
      <c r="K105" s="539">
        <v>18.3</v>
      </c>
      <c r="L105" s="539">
        <v>-1.06</v>
      </c>
      <c r="M105" s="540">
        <v>35</v>
      </c>
      <c r="N105"/>
      <c r="O105"/>
      <c r="P105"/>
      <c r="Q105"/>
      <c r="R105"/>
      <c r="S105"/>
      <c r="CQ105" s="446"/>
      <c r="CV105" s="446"/>
      <c r="CW105" s="77"/>
    </row>
    <row r="106" spans="1:101" s="271" customFormat="1" ht="36.75" customHeight="1" thickTop="1" x14ac:dyDescent="0.25">
      <c r="A106" s="147"/>
      <c r="B106" s="147"/>
      <c r="C106" s="147"/>
      <c r="D106" s="147"/>
      <c r="E106" s="407"/>
      <c r="F106" s="407"/>
      <c r="G106" s="407"/>
      <c r="H106" s="407"/>
      <c r="I106" s="376"/>
      <c r="J106" s="376"/>
      <c r="K106" s="376"/>
      <c r="L106" s="376"/>
      <c r="M106" s="376"/>
      <c r="N106"/>
      <c r="O106"/>
      <c r="P106"/>
      <c r="Q106"/>
      <c r="R106"/>
      <c r="S106"/>
      <c r="CQ106" s="447"/>
      <c r="CV106" s="447"/>
    </row>
    <row r="107" spans="1:101" s="97" customFormat="1" ht="36.75" customHeight="1" x14ac:dyDescent="0.25">
      <c r="A107" s="146" t="s">
        <v>8</v>
      </c>
      <c r="B107" s="146" t="s">
        <v>7</v>
      </c>
      <c r="C107" s="146" t="s">
        <v>27</v>
      </c>
      <c r="D107" s="146" t="s">
        <v>127</v>
      </c>
      <c r="E107" s="150" t="str">
        <f t="shared" ref="E107:E111" si="8">CV107&amp;" \ "&amp;CW107</f>
        <v>BBB \ Baa1</v>
      </c>
      <c r="F107" s="150" t="s">
        <v>22</v>
      </c>
      <c r="G107" s="409">
        <v>41820</v>
      </c>
      <c r="H107" s="150" t="s">
        <v>138</v>
      </c>
      <c r="I107" s="370">
        <v>0.92</v>
      </c>
      <c r="J107" s="370">
        <v>0</v>
      </c>
      <c r="K107" s="375"/>
      <c r="L107" s="375"/>
      <c r="M107" s="375"/>
      <c r="N107"/>
      <c r="O107"/>
      <c r="P107"/>
      <c r="Q107"/>
      <c r="R107"/>
      <c r="S107"/>
      <c r="CQ107" s="444"/>
      <c r="CV107" s="444" t="s">
        <v>33</v>
      </c>
      <c r="CW107" s="97" t="s">
        <v>44</v>
      </c>
    </row>
    <row r="108" spans="1:101" s="271" customFormat="1" ht="36.75" customHeight="1" x14ac:dyDescent="0.25">
      <c r="A108" s="147" t="s">
        <v>8</v>
      </c>
      <c r="B108" s="147" t="s">
        <v>7</v>
      </c>
      <c r="C108" s="147" t="s">
        <v>27</v>
      </c>
      <c r="D108" s="147" t="s">
        <v>127</v>
      </c>
      <c r="E108" s="407" t="str">
        <f t="shared" si="8"/>
        <v>BBB \ Baa1</v>
      </c>
      <c r="F108" s="407" t="s">
        <v>22</v>
      </c>
      <c r="G108" s="537">
        <v>42185</v>
      </c>
      <c r="H108" s="407" t="s">
        <v>139</v>
      </c>
      <c r="I108" s="376"/>
      <c r="J108" s="538">
        <v>0</v>
      </c>
      <c r="K108" s="376"/>
      <c r="L108" s="376"/>
      <c r="M108" s="376"/>
      <c r="N108"/>
      <c r="O108"/>
      <c r="P108"/>
      <c r="Q108"/>
      <c r="R108"/>
      <c r="S108"/>
      <c r="CQ108" s="447"/>
      <c r="CV108" s="447" t="s">
        <v>33</v>
      </c>
      <c r="CW108" s="271" t="s">
        <v>44</v>
      </c>
    </row>
    <row r="109" spans="1:101" s="97" customFormat="1" ht="36.75" customHeight="1" x14ac:dyDescent="0.25">
      <c r="A109" s="146" t="s">
        <v>8</v>
      </c>
      <c r="B109" s="146" t="s">
        <v>7</v>
      </c>
      <c r="C109" s="146" t="s">
        <v>27</v>
      </c>
      <c r="D109" s="146" t="s">
        <v>127</v>
      </c>
      <c r="E109" s="150" t="str">
        <f t="shared" si="8"/>
        <v>BBB \ Baa1</v>
      </c>
      <c r="F109" s="150" t="s">
        <v>22</v>
      </c>
      <c r="G109" s="409">
        <v>42551</v>
      </c>
      <c r="H109" s="150" t="s">
        <v>301</v>
      </c>
      <c r="I109" s="375"/>
      <c r="J109" s="370">
        <v>0</v>
      </c>
      <c r="K109" s="375"/>
      <c r="L109" s="375"/>
      <c r="M109" s="375"/>
      <c r="N109"/>
      <c r="O109"/>
      <c r="P109"/>
      <c r="Q109"/>
      <c r="R109"/>
      <c r="S109"/>
      <c r="CQ109" s="444"/>
      <c r="CV109" s="444" t="s">
        <v>33</v>
      </c>
      <c r="CW109" s="97" t="s">
        <v>44</v>
      </c>
    </row>
    <row r="110" spans="1:101" s="271" customFormat="1" ht="36.75" customHeight="1" thickBot="1" x14ac:dyDescent="0.3">
      <c r="A110" s="147" t="s">
        <v>8</v>
      </c>
      <c r="B110" s="147" t="s">
        <v>7</v>
      </c>
      <c r="C110" s="147" t="s">
        <v>27</v>
      </c>
      <c r="D110" s="147" t="s">
        <v>127</v>
      </c>
      <c r="E110" s="407" t="str">
        <f t="shared" si="8"/>
        <v>BBB \ Baa1</v>
      </c>
      <c r="F110" s="407" t="s">
        <v>22</v>
      </c>
      <c r="G110" s="537">
        <v>42916</v>
      </c>
      <c r="H110" s="407" t="s">
        <v>346</v>
      </c>
      <c r="I110" s="376"/>
      <c r="J110" s="538">
        <v>0</v>
      </c>
      <c r="K110" s="376"/>
      <c r="L110" s="376"/>
      <c r="M110" s="376"/>
      <c r="N110"/>
      <c r="O110"/>
      <c r="P110"/>
      <c r="Q110"/>
      <c r="R110"/>
      <c r="S110"/>
      <c r="CQ110" s="447"/>
      <c r="CV110" s="447" t="s">
        <v>33</v>
      </c>
      <c r="CW110" s="271" t="s">
        <v>44</v>
      </c>
    </row>
    <row r="111" spans="1:101" s="97" customFormat="1" ht="36.75" customHeight="1" thickTop="1" thickBot="1" x14ac:dyDescent="0.3">
      <c r="A111" s="146" t="s">
        <v>324</v>
      </c>
      <c r="B111" s="146"/>
      <c r="C111" s="371" t="s">
        <v>214</v>
      </c>
      <c r="D111" s="372"/>
      <c r="E111" s="410" t="str">
        <f t="shared" si="8"/>
        <v xml:space="preserve"> \ </v>
      </c>
      <c r="F111" s="410"/>
      <c r="G111" s="410" t="s">
        <v>206</v>
      </c>
      <c r="H111" s="410"/>
      <c r="I111" s="539">
        <v>0.92</v>
      </c>
      <c r="J111" s="539">
        <v>0</v>
      </c>
      <c r="K111" s="539">
        <v>0</v>
      </c>
      <c r="L111" s="539">
        <v>0</v>
      </c>
      <c r="M111" s="377"/>
      <c r="N111"/>
      <c r="O111"/>
      <c r="P111"/>
      <c r="Q111"/>
      <c r="R111"/>
      <c r="S111"/>
      <c r="CQ111" s="444"/>
      <c r="CV111" s="444"/>
    </row>
    <row r="112" spans="1:101" s="271" customFormat="1" ht="36.75" customHeight="1" thickTop="1" x14ac:dyDescent="0.25">
      <c r="A112" s="147"/>
      <c r="B112" s="147"/>
      <c r="C112" s="147"/>
      <c r="D112" s="147"/>
      <c r="E112" s="407"/>
      <c r="F112" s="407"/>
      <c r="G112" s="407"/>
      <c r="H112" s="407"/>
      <c r="I112" s="376"/>
      <c r="J112" s="376"/>
      <c r="K112" s="376"/>
      <c r="L112" s="376"/>
      <c r="M112" s="376"/>
      <c r="N112"/>
      <c r="O112"/>
      <c r="P112"/>
      <c r="Q112"/>
      <c r="R112"/>
      <c r="S112"/>
      <c r="CQ112" s="447"/>
      <c r="CV112" s="447"/>
    </row>
    <row r="113" spans="1:101" s="97" customFormat="1" ht="36.75" customHeight="1" x14ac:dyDescent="0.25">
      <c r="A113" s="146" t="s">
        <v>8</v>
      </c>
      <c r="B113" s="146" t="s">
        <v>7</v>
      </c>
      <c r="C113" s="146" t="s">
        <v>92</v>
      </c>
      <c r="D113" s="146" t="s">
        <v>128</v>
      </c>
      <c r="E113" s="150" t="str">
        <f t="shared" ref="E113:E117" si="9">CV113&amp;" \ "&amp;CW113</f>
        <v>BBB \ Baa2</v>
      </c>
      <c r="F113" s="150" t="s">
        <v>22</v>
      </c>
      <c r="G113" s="409">
        <v>41820</v>
      </c>
      <c r="H113" s="150" t="s">
        <v>138</v>
      </c>
      <c r="I113" s="370">
        <v>3.32</v>
      </c>
      <c r="J113" s="370">
        <v>0.43</v>
      </c>
      <c r="K113" s="375"/>
      <c r="L113" s="375"/>
      <c r="M113" s="375"/>
      <c r="N113"/>
      <c r="O113"/>
      <c r="P113"/>
      <c r="Q113"/>
      <c r="R113"/>
      <c r="S113"/>
      <c r="CQ113" s="444"/>
      <c r="CV113" s="444" t="s">
        <v>33</v>
      </c>
      <c r="CW113" s="97" t="s">
        <v>45</v>
      </c>
    </row>
    <row r="114" spans="1:101" s="271" customFormat="1" ht="36.75" customHeight="1" x14ac:dyDescent="0.25">
      <c r="A114" s="147" t="s">
        <v>8</v>
      </c>
      <c r="B114" s="147" t="s">
        <v>7</v>
      </c>
      <c r="C114" s="147" t="s">
        <v>92</v>
      </c>
      <c r="D114" s="147" t="s">
        <v>128</v>
      </c>
      <c r="E114" s="407" t="str">
        <f t="shared" si="9"/>
        <v>BBB \ Baa2</v>
      </c>
      <c r="F114" s="407" t="s">
        <v>22</v>
      </c>
      <c r="G114" s="537">
        <v>42185</v>
      </c>
      <c r="H114" s="407" t="s">
        <v>139</v>
      </c>
      <c r="I114" s="538">
        <v>1.55</v>
      </c>
      <c r="J114" s="538">
        <v>1.55</v>
      </c>
      <c r="K114" s="376"/>
      <c r="L114" s="376"/>
      <c r="M114" s="376"/>
      <c r="N114"/>
      <c r="O114"/>
      <c r="P114"/>
      <c r="Q114"/>
      <c r="R114"/>
      <c r="S114"/>
      <c r="CQ114" s="447"/>
      <c r="CV114" s="447" t="s">
        <v>33</v>
      </c>
      <c r="CW114" s="271" t="s">
        <v>45</v>
      </c>
    </row>
    <row r="115" spans="1:101" s="97" customFormat="1" ht="36.75" customHeight="1" x14ac:dyDescent="0.25">
      <c r="A115" s="146" t="s">
        <v>8</v>
      </c>
      <c r="B115" s="146" t="s">
        <v>7</v>
      </c>
      <c r="C115" s="146" t="s">
        <v>92</v>
      </c>
      <c r="D115" s="146" t="s">
        <v>128</v>
      </c>
      <c r="E115" s="529" t="str">
        <f t="shared" si="9"/>
        <v>BBB \ Baa2</v>
      </c>
      <c r="F115" s="150" t="s">
        <v>22</v>
      </c>
      <c r="G115" s="409">
        <v>42551</v>
      </c>
      <c r="H115" s="150" t="s">
        <v>301</v>
      </c>
      <c r="I115" s="370">
        <v>0.72</v>
      </c>
      <c r="J115" s="370">
        <v>0.72</v>
      </c>
      <c r="K115" s="375"/>
      <c r="L115" s="375"/>
      <c r="M115" s="375"/>
      <c r="N115"/>
      <c r="O115"/>
      <c r="P115"/>
      <c r="Q115"/>
      <c r="R115"/>
      <c r="S115"/>
      <c r="CQ115" s="444"/>
      <c r="CV115" s="444" t="s">
        <v>33</v>
      </c>
      <c r="CW115" s="97" t="s">
        <v>45</v>
      </c>
    </row>
    <row r="116" spans="1:101" s="97" customFormat="1" ht="36.75" customHeight="1" thickBot="1" x14ac:dyDescent="0.3">
      <c r="A116" s="147" t="s">
        <v>8</v>
      </c>
      <c r="B116" s="147" t="s">
        <v>7</v>
      </c>
      <c r="C116" s="147" t="s">
        <v>92</v>
      </c>
      <c r="D116" s="147" t="s">
        <v>128</v>
      </c>
      <c r="E116" s="407" t="str">
        <f t="shared" si="9"/>
        <v>BBB \ Baa2</v>
      </c>
      <c r="F116" s="407" t="s">
        <v>22</v>
      </c>
      <c r="G116" s="537">
        <v>42916</v>
      </c>
      <c r="H116" s="407" t="s">
        <v>346</v>
      </c>
      <c r="I116" s="538">
        <v>0</v>
      </c>
      <c r="J116" s="538">
        <v>0</v>
      </c>
      <c r="K116" s="376"/>
      <c r="L116" s="376"/>
      <c r="M116" s="376"/>
      <c r="N116"/>
      <c r="O116"/>
      <c r="P116"/>
      <c r="Q116"/>
      <c r="R116"/>
      <c r="S116"/>
      <c r="CQ116" s="444"/>
      <c r="CV116" s="444" t="s">
        <v>33</v>
      </c>
      <c r="CW116" s="97" t="s">
        <v>45</v>
      </c>
    </row>
    <row r="117" spans="1:101" s="97" customFormat="1" ht="36.75" customHeight="1" thickTop="1" thickBot="1" x14ac:dyDescent="0.3">
      <c r="A117" s="146" t="s">
        <v>325</v>
      </c>
      <c r="B117" s="146"/>
      <c r="C117" s="371" t="s">
        <v>214</v>
      </c>
      <c r="D117" s="372"/>
      <c r="E117" s="410" t="str">
        <f t="shared" si="9"/>
        <v xml:space="preserve"> \ </v>
      </c>
      <c r="F117" s="410"/>
      <c r="G117" s="410" t="s">
        <v>206</v>
      </c>
      <c r="H117" s="410"/>
      <c r="I117" s="539">
        <v>5.59</v>
      </c>
      <c r="J117" s="539">
        <v>2.71</v>
      </c>
      <c r="K117" s="539">
        <v>3.4</v>
      </c>
      <c r="L117" s="539">
        <v>-0.7</v>
      </c>
      <c r="M117" s="377"/>
      <c r="N117"/>
      <c r="O117"/>
      <c r="P117"/>
      <c r="Q117"/>
      <c r="R117"/>
      <c r="S117"/>
      <c r="CQ117" s="444"/>
      <c r="CV117" s="444"/>
    </row>
    <row r="118" spans="1:101" s="97" customFormat="1" ht="36.75" customHeight="1" thickTop="1" x14ac:dyDescent="0.25">
      <c r="A118" s="147"/>
      <c r="B118" s="147"/>
      <c r="C118" s="147"/>
      <c r="D118" s="147"/>
      <c r="E118" s="407"/>
      <c r="F118" s="407"/>
      <c r="G118" s="407"/>
      <c r="H118" s="407"/>
      <c r="I118" s="376"/>
      <c r="J118" s="376"/>
      <c r="K118" s="376"/>
      <c r="L118" s="376"/>
      <c r="M118" s="376"/>
      <c r="N118"/>
      <c r="O118"/>
      <c r="P118"/>
      <c r="Q118"/>
      <c r="R118"/>
      <c r="S118"/>
      <c r="CQ118" s="444"/>
      <c r="CV118" s="444"/>
    </row>
    <row r="119" spans="1:101" s="97" customFormat="1" ht="36.75" customHeight="1" x14ac:dyDescent="0.25">
      <c r="A119" s="146"/>
      <c r="B119" s="146"/>
      <c r="C119" s="146"/>
      <c r="D119" s="146"/>
      <c r="E119" s="150"/>
      <c r="F119" s="150"/>
      <c r="G119" s="150"/>
      <c r="H119" s="150"/>
      <c r="I119" s="375"/>
      <c r="J119" s="375"/>
      <c r="K119" s="375"/>
      <c r="L119" s="375"/>
      <c r="M119" s="375"/>
      <c r="N119"/>
      <c r="O119"/>
      <c r="P119"/>
      <c r="Q119"/>
      <c r="R119"/>
      <c r="S119"/>
      <c r="CQ119" s="444"/>
      <c r="CV119" s="444"/>
    </row>
    <row r="120" spans="1:101" s="271" customFormat="1" ht="36.75" customHeight="1" x14ac:dyDescent="0.25">
      <c r="A120" s="147"/>
      <c r="B120" s="147"/>
      <c r="C120" s="147"/>
      <c r="D120" s="147"/>
      <c r="E120" s="407"/>
      <c r="F120" s="407"/>
      <c r="G120" s="407"/>
      <c r="H120" s="407"/>
      <c r="I120" s="376"/>
      <c r="J120" s="376"/>
      <c r="K120" s="376"/>
      <c r="L120" s="376"/>
      <c r="M120" s="376"/>
      <c r="N120"/>
      <c r="O120"/>
      <c r="P120"/>
      <c r="Q120"/>
      <c r="R120"/>
      <c r="S120"/>
      <c r="CQ120" s="447"/>
      <c r="CV120" s="447"/>
    </row>
    <row r="121" spans="1:101" s="97" customFormat="1" ht="36.75" customHeight="1" x14ac:dyDescent="0.25">
      <c r="A121" s="146"/>
      <c r="B121" s="146"/>
      <c r="C121" s="146"/>
      <c r="D121" s="146"/>
      <c r="E121" s="150"/>
      <c r="F121" s="150"/>
      <c r="G121" s="150"/>
      <c r="H121" s="150"/>
      <c r="I121" s="375"/>
      <c r="J121" s="375"/>
      <c r="K121" s="375"/>
      <c r="L121" s="375"/>
      <c r="M121" s="375"/>
      <c r="O121"/>
      <c r="P121"/>
      <c r="Q121"/>
      <c r="R121"/>
      <c r="S121"/>
      <c r="CQ121" s="444"/>
      <c r="CV121" s="444"/>
    </row>
    <row r="122" spans="1:101" s="97" customFormat="1" ht="36.75" customHeight="1" thickBot="1" x14ac:dyDescent="0.3">
      <c r="A122" s="147"/>
      <c r="B122" s="147"/>
      <c r="C122" s="147"/>
      <c r="D122" s="147"/>
      <c r="E122" s="407"/>
      <c r="F122" s="407"/>
      <c r="G122" s="407"/>
      <c r="H122" s="407"/>
      <c r="I122" s="376"/>
      <c r="J122" s="376"/>
      <c r="K122" s="376"/>
      <c r="L122" s="376"/>
      <c r="M122" s="376"/>
      <c r="N122"/>
      <c r="O122"/>
      <c r="P122"/>
      <c r="Q122"/>
      <c r="R122"/>
      <c r="S122"/>
      <c r="CQ122" s="444"/>
      <c r="CV122" s="444"/>
    </row>
    <row r="123" spans="1:101" s="271" customFormat="1" ht="36.75" customHeight="1" thickTop="1" thickBot="1" x14ac:dyDescent="0.3">
      <c r="A123" s="146"/>
      <c r="B123" s="146"/>
      <c r="C123" s="371" t="s">
        <v>214</v>
      </c>
      <c r="D123" s="372"/>
      <c r="E123" s="475"/>
      <c r="F123" s="410"/>
      <c r="G123" s="410"/>
      <c r="H123" s="410"/>
      <c r="I123" s="493">
        <f>I121+I111</f>
        <v>0.92</v>
      </c>
      <c r="J123" s="493">
        <f>J121+J111</f>
        <v>0</v>
      </c>
      <c r="K123" s="493">
        <f>K121+K111</f>
        <v>0</v>
      </c>
      <c r="L123" s="493">
        <f>IF(AND(L121&gt;0,L111&gt;0),L121+L111,IF(AND(L121&gt;0,L111&lt;=0),L121,IF(AND(L121&lt;=0,L111&gt;0),L111,0)))</f>
        <v>0</v>
      </c>
      <c r="M123" s="377"/>
      <c r="N123"/>
      <c r="O123"/>
      <c r="P123"/>
      <c r="Q123"/>
      <c r="R123"/>
      <c r="S123"/>
      <c r="CQ123" s="447"/>
      <c r="CV123" s="447"/>
    </row>
    <row r="124" spans="1:101" ht="36.75" customHeight="1" thickTop="1" thickBot="1" x14ac:dyDescent="0.3">
      <c r="A124" s="225">
        <v>41773</v>
      </c>
      <c r="B124" s="872" t="s">
        <v>177</v>
      </c>
      <c r="C124" s="872"/>
      <c r="D124" s="872"/>
      <c r="E124" s="872"/>
      <c r="F124" s="872"/>
      <c r="G124" s="872"/>
      <c r="H124" s="872"/>
      <c r="I124" s="872"/>
      <c r="J124" s="872"/>
      <c r="K124" s="872"/>
      <c r="L124" s="872"/>
      <c r="M124" s="873"/>
      <c r="N124"/>
      <c r="O124"/>
      <c r="P124"/>
      <c r="Q124"/>
      <c r="R124"/>
      <c r="S124"/>
    </row>
    <row r="125" spans="1:101" s="75" customFormat="1" ht="81" customHeight="1" thickTop="1" x14ac:dyDescent="0.3">
      <c r="A125" s="158" t="s">
        <v>89</v>
      </c>
      <c r="B125" s="158" t="s">
        <v>90</v>
      </c>
      <c r="C125" s="158" t="s">
        <v>0</v>
      </c>
      <c r="D125" s="158" t="s">
        <v>124</v>
      </c>
      <c r="E125" s="221" t="s">
        <v>184</v>
      </c>
      <c r="F125" s="158" t="s">
        <v>13</v>
      </c>
      <c r="G125" s="158" t="s">
        <v>178</v>
      </c>
      <c r="H125" s="158" t="s">
        <v>12</v>
      </c>
      <c r="I125" s="158" t="s">
        <v>174</v>
      </c>
      <c r="J125" s="158" t="s">
        <v>175</v>
      </c>
      <c r="K125" s="158" t="s">
        <v>329</v>
      </c>
      <c r="L125" s="158" t="s">
        <v>330</v>
      </c>
      <c r="M125" s="220" t="s">
        <v>306</v>
      </c>
      <c r="N125"/>
      <c r="O125"/>
      <c r="P125"/>
      <c r="Q125"/>
      <c r="R125"/>
      <c r="S125"/>
      <c r="CQ125" s="443"/>
      <c r="CV125" s="443"/>
    </row>
    <row r="126" spans="1:101" ht="36.75" customHeight="1" thickBot="1" x14ac:dyDescent="0.3">
      <c r="A126" s="146" t="s">
        <v>84</v>
      </c>
      <c r="B126" s="146" t="s">
        <v>9</v>
      </c>
      <c r="C126" s="146" t="s">
        <v>183</v>
      </c>
      <c r="D126" s="146" t="s">
        <v>142</v>
      </c>
      <c r="E126" s="150" t="str">
        <f t="shared" ref="E126:E127" si="10">CV126&amp;" \ "&amp;CW126</f>
        <v>NR \ NR</v>
      </c>
      <c r="F126" s="150" t="s">
        <v>22</v>
      </c>
      <c r="G126" s="409">
        <v>41449</v>
      </c>
      <c r="H126" s="150" t="s">
        <v>172</v>
      </c>
      <c r="I126" s="370">
        <v>7.0000000000000007E-2</v>
      </c>
      <c r="J126" s="370">
        <v>7.0000000000000007E-2</v>
      </c>
      <c r="K126" s="370">
        <v>7.0000000000000007E-2</v>
      </c>
      <c r="L126" s="370">
        <v>0</v>
      </c>
      <c r="M126" s="370">
        <v>1.32</v>
      </c>
      <c r="N126"/>
      <c r="O126"/>
      <c r="P126"/>
      <c r="Q126"/>
      <c r="R126"/>
      <c r="S126"/>
      <c r="CV126" s="441" t="s">
        <v>142</v>
      </c>
      <c r="CW126" s="77" t="s">
        <v>142</v>
      </c>
    </row>
    <row r="127" spans="1:101" ht="36.75" customHeight="1" thickTop="1" thickBot="1" x14ac:dyDescent="0.3">
      <c r="A127" s="147" t="s">
        <v>297</v>
      </c>
      <c r="B127" s="147"/>
      <c r="C127" s="373" t="s">
        <v>215</v>
      </c>
      <c r="D127" s="374"/>
      <c r="E127" s="476" t="str">
        <f t="shared" si="10"/>
        <v xml:space="preserve"> \ </v>
      </c>
      <c r="F127" s="408"/>
      <c r="G127" s="408"/>
      <c r="H127" s="408"/>
      <c r="I127" s="438">
        <f t="shared" ref="I127:L127" si="11">SUM(I126:I126)</f>
        <v>7.0000000000000007E-2</v>
      </c>
      <c r="J127" s="438">
        <f t="shared" si="11"/>
        <v>7.0000000000000007E-2</v>
      </c>
      <c r="K127" s="438">
        <f t="shared" si="11"/>
        <v>7.0000000000000007E-2</v>
      </c>
      <c r="L127" s="438">
        <f t="shared" si="11"/>
        <v>0</v>
      </c>
      <c r="M127" s="555"/>
      <c r="N127"/>
      <c r="O127"/>
      <c r="P127"/>
      <c r="Q127"/>
      <c r="R127"/>
      <c r="S127"/>
    </row>
    <row r="128" spans="1:101" ht="36.75" customHeight="1" thickTop="1" x14ac:dyDescent="0.25">
      <c r="A128" s="146"/>
      <c r="B128" s="146"/>
      <c r="C128" s="146"/>
      <c r="D128" s="146"/>
      <c r="E128" s="150"/>
      <c r="F128" s="150"/>
      <c r="G128" s="150"/>
      <c r="H128" s="150"/>
      <c r="I128" s="375"/>
      <c r="J128" s="375"/>
      <c r="K128" s="375"/>
      <c r="L128" s="375"/>
      <c r="M128" s="375"/>
      <c r="N128"/>
      <c r="O128"/>
      <c r="P128"/>
      <c r="Q128"/>
      <c r="R128"/>
      <c r="S128"/>
    </row>
    <row r="129" spans="1:19" ht="36.75" customHeight="1" x14ac:dyDescent="0.25">
      <c r="A129" s="147"/>
      <c r="B129" s="147"/>
      <c r="C129" s="147"/>
      <c r="D129" s="147"/>
      <c r="E129" s="407"/>
      <c r="F129" s="407"/>
      <c r="G129" s="407"/>
      <c r="H129" s="407"/>
      <c r="I129" s="376"/>
      <c r="J129" s="376"/>
      <c r="K129" s="376"/>
      <c r="L129" s="376"/>
      <c r="M129" s="376"/>
      <c r="N129"/>
      <c r="O129"/>
      <c r="P129"/>
      <c r="Q129"/>
      <c r="R129"/>
      <c r="S129"/>
    </row>
    <row r="130" spans="1:19" ht="36.75" customHeight="1" x14ac:dyDescent="0.25">
      <c r="A130" s="146"/>
      <c r="B130" s="146"/>
      <c r="C130" s="146"/>
      <c r="D130" s="146"/>
      <c r="E130" s="150"/>
      <c r="F130" s="150"/>
      <c r="G130" s="150"/>
      <c r="H130" s="150"/>
      <c r="I130" s="375"/>
      <c r="J130" s="375"/>
      <c r="K130" s="375"/>
      <c r="L130" s="375"/>
      <c r="M130" s="375"/>
      <c r="N130"/>
      <c r="O130"/>
      <c r="P130"/>
      <c r="Q130"/>
      <c r="R130"/>
      <c r="S130"/>
    </row>
    <row r="131" spans="1:19" ht="36.75" customHeight="1" x14ac:dyDescent="0.25">
      <c r="A131" s="147"/>
      <c r="B131" s="147"/>
      <c r="C131" s="147"/>
      <c r="D131" s="147"/>
      <c r="E131" s="407"/>
      <c r="F131" s="407"/>
      <c r="G131" s="407"/>
      <c r="H131" s="407"/>
      <c r="I131" s="376"/>
      <c r="J131" s="376"/>
      <c r="K131" s="376"/>
      <c r="L131" s="376"/>
      <c r="M131" s="376"/>
      <c r="N131"/>
      <c r="O131"/>
      <c r="P131"/>
      <c r="Q131"/>
      <c r="R131"/>
      <c r="S131"/>
    </row>
    <row r="132" spans="1:19" ht="36.75" customHeight="1" x14ac:dyDescent="0.25">
      <c r="A132" s="146"/>
      <c r="B132" s="146"/>
      <c r="C132" s="146"/>
      <c r="D132" s="146"/>
      <c r="E132" s="150"/>
      <c r="F132" s="150"/>
      <c r="G132" s="150"/>
      <c r="H132" s="150"/>
      <c r="I132" s="375"/>
      <c r="J132" s="375"/>
      <c r="K132" s="375"/>
      <c r="L132" s="375"/>
      <c r="M132" s="375"/>
      <c r="N132"/>
      <c r="O132"/>
      <c r="P132"/>
      <c r="Q132"/>
      <c r="R132"/>
      <c r="S132"/>
    </row>
    <row r="133" spans="1:19" ht="36.75" customHeight="1" x14ac:dyDescent="0.25">
      <c r="A133" s="147"/>
      <c r="B133" s="147"/>
      <c r="C133" s="147"/>
      <c r="D133" s="147"/>
      <c r="E133" s="407"/>
      <c r="F133" s="407"/>
      <c r="G133" s="407"/>
      <c r="H133" s="407"/>
      <c r="I133" s="376"/>
      <c r="J133" s="376"/>
      <c r="K133" s="376"/>
      <c r="L133" s="376"/>
      <c r="M133" s="376"/>
      <c r="N133"/>
      <c r="O133"/>
      <c r="P133"/>
      <c r="Q133"/>
      <c r="R133"/>
      <c r="S133"/>
    </row>
    <row r="134" spans="1:19" ht="36.75" customHeight="1" x14ac:dyDescent="0.25">
      <c r="A134" s="146"/>
      <c r="B134" s="146"/>
      <c r="C134" s="146"/>
      <c r="D134" s="146"/>
      <c r="E134" s="150"/>
      <c r="F134" s="150"/>
      <c r="G134" s="150"/>
      <c r="H134" s="150"/>
      <c r="I134" s="375"/>
      <c r="J134" s="375"/>
      <c r="K134" s="375"/>
      <c r="L134" s="375"/>
      <c r="M134" s="375"/>
      <c r="N134"/>
      <c r="O134"/>
      <c r="P134"/>
      <c r="Q134"/>
      <c r="R134"/>
      <c r="S134"/>
    </row>
    <row r="135" spans="1:19" ht="36.75" customHeight="1" x14ac:dyDescent="0.25">
      <c r="A135" s="147"/>
      <c r="B135" s="147"/>
      <c r="C135" s="147"/>
      <c r="D135" s="147"/>
      <c r="E135" s="407"/>
      <c r="F135" s="407"/>
      <c r="G135" s="407"/>
      <c r="H135" s="407"/>
      <c r="I135" s="376"/>
      <c r="J135" s="376"/>
      <c r="K135" s="376"/>
      <c r="L135" s="376"/>
      <c r="M135" s="376"/>
      <c r="N135"/>
      <c r="O135"/>
      <c r="P135"/>
      <c r="Q135"/>
      <c r="R135"/>
      <c r="S135"/>
    </row>
    <row r="136" spans="1:19" ht="36.75" customHeight="1" x14ac:dyDescent="0.25">
      <c r="A136" s="146"/>
      <c r="B136" s="146"/>
      <c r="C136" s="146"/>
      <c r="D136" s="146"/>
      <c r="E136" s="150"/>
      <c r="F136" s="150"/>
      <c r="G136" s="150"/>
      <c r="H136" s="150"/>
      <c r="I136" s="375"/>
      <c r="J136" s="375"/>
      <c r="K136" s="375"/>
      <c r="L136" s="375"/>
      <c r="M136" s="375"/>
      <c r="N136"/>
      <c r="O136"/>
      <c r="P136"/>
      <c r="Q136"/>
      <c r="R136"/>
      <c r="S136"/>
    </row>
    <row r="137" spans="1:19" ht="36.75" customHeight="1" x14ac:dyDescent="0.25">
      <c r="A137" s="147"/>
      <c r="B137" s="147"/>
      <c r="C137" s="147"/>
      <c r="D137" s="147"/>
      <c r="E137" s="407"/>
      <c r="F137" s="407"/>
      <c r="G137" s="407"/>
      <c r="H137" s="407"/>
      <c r="I137" s="376"/>
      <c r="J137" s="376"/>
      <c r="K137" s="376"/>
      <c r="L137" s="376"/>
      <c r="M137" s="376"/>
      <c r="N137"/>
      <c r="O137"/>
      <c r="P137"/>
      <c r="Q137"/>
      <c r="R137"/>
      <c r="S137"/>
    </row>
    <row r="138" spans="1:19" ht="36.75" customHeight="1" x14ac:dyDescent="0.25">
      <c r="A138" s="146"/>
      <c r="B138" s="146"/>
      <c r="C138" s="146"/>
      <c r="D138" s="146"/>
      <c r="E138" s="150"/>
      <c r="F138" s="150"/>
      <c r="G138" s="150"/>
      <c r="H138" s="150"/>
      <c r="I138" s="375"/>
      <c r="J138" s="375"/>
      <c r="K138" s="375"/>
      <c r="L138" s="375"/>
      <c r="M138" s="375"/>
      <c r="N138"/>
      <c r="O138"/>
      <c r="P138"/>
      <c r="Q138"/>
      <c r="R138"/>
      <c r="S138"/>
    </row>
    <row r="139" spans="1:19" ht="36.75" customHeight="1" x14ac:dyDescent="0.25">
      <c r="A139" s="147"/>
      <c r="B139" s="147"/>
      <c r="C139" s="147"/>
      <c r="D139" s="147"/>
      <c r="E139" s="407"/>
      <c r="F139" s="407"/>
      <c r="G139" s="407"/>
      <c r="H139" s="407"/>
      <c r="I139" s="376"/>
      <c r="J139" s="376"/>
      <c r="K139" s="376"/>
      <c r="L139" s="376"/>
      <c r="M139" s="376"/>
      <c r="N139"/>
      <c r="O139"/>
      <c r="P139"/>
      <c r="Q139"/>
      <c r="R139"/>
      <c r="S139"/>
    </row>
    <row r="140" spans="1:19" ht="36.75" customHeight="1" x14ac:dyDescent="0.25">
      <c r="A140" s="146"/>
      <c r="B140" s="146"/>
      <c r="C140" s="146"/>
      <c r="D140" s="146"/>
      <c r="E140" s="150"/>
      <c r="F140" s="150"/>
      <c r="G140" s="150"/>
      <c r="H140" s="150"/>
      <c r="I140" s="375"/>
      <c r="J140" s="375"/>
      <c r="K140" s="375"/>
      <c r="L140" s="375"/>
      <c r="M140" s="375"/>
      <c r="N140"/>
      <c r="O140"/>
      <c r="P140"/>
      <c r="Q140"/>
      <c r="R140"/>
      <c r="S140"/>
    </row>
    <row r="141" spans="1:19" ht="36.75" customHeight="1" x14ac:dyDescent="0.25">
      <c r="A141" s="147"/>
      <c r="B141" s="147"/>
      <c r="C141" s="147"/>
      <c r="D141" s="147"/>
      <c r="E141" s="407"/>
      <c r="F141" s="407"/>
      <c r="G141" s="407"/>
      <c r="H141" s="407"/>
      <c r="I141" s="376"/>
      <c r="J141" s="376"/>
      <c r="K141" s="376"/>
      <c r="L141" s="376"/>
      <c r="M141" s="376"/>
      <c r="N141"/>
      <c r="O141"/>
      <c r="P141"/>
      <c r="Q141"/>
      <c r="R141"/>
      <c r="S141"/>
    </row>
    <row r="142" spans="1:19" ht="36.75" customHeight="1" x14ac:dyDescent="0.25">
      <c r="A142" s="146"/>
      <c r="B142" s="146"/>
      <c r="C142" s="146"/>
      <c r="D142" s="146"/>
      <c r="E142" s="150"/>
      <c r="F142" s="150"/>
      <c r="G142" s="150"/>
      <c r="H142" s="150"/>
      <c r="I142" s="375"/>
      <c r="J142" s="375"/>
      <c r="K142" s="375"/>
      <c r="L142" s="375"/>
      <c r="M142" s="375"/>
      <c r="N142"/>
      <c r="O142"/>
      <c r="P142"/>
      <c r="Q142"/>
      <c r="R142"/>
      <c r="S142"/>
    </row>
    <row r="143" spans="1:19" ht="36.75" customHeight="1" x14ac:dyDescent="0.25">
      <c r="A143" s="147"/>
      <c r="B143" s="147"/>
      <c r="C143" s="147"/>
      <c r="D143" s="147"/>
      <c r="E143" s="407"/>
      <c r="F143" s="407"/>
      <c r="G143" s="407"/>
      <c r="H143" s="407"/>
      <c r="I143" s="376"/>
      <c r="J143" s="376"/>
      <c r="K143" s="376"/>
      <c r="L143" s="376"/>
      <c r="M143" s="376"/>
      <c r="N143"/>
      <c r="O143"/>
      <c r="P143"/>
      <c r="Q143"/>
      <c r="R143"/>
      <c r="S143"/>
    </row>
    <row r="144" spans="1:19" ht="36.75" customHeight="1" x14ac:dyDescent="0.25">
      <c r="A144" s="146"/>
      <c r="B144" s="146"/>
      <c r="C144" s="146"/>
      <c r="D144" s="146"/>
      <c r="E144" s="150"/>
      <c r="F144" s="150"/>
      <c r="G144" s="150"/>
      <c r="H144" s="150"/>
      <c r="I144" s="375"/>
      <c r="J144" s="375"/>
      <c r="K144" s="375"/>
      <c r="L144" s="375"/>
      <c r="M144" s="375"/>
      <c r="N144"/>
      <c r="O144"/>
      <c r="P144"/>
      <c r="Q144"/>
      <c r="R144"/>
      <c r="S144"/>
    </row>
    <row r="145" spans="1:100" ht="36.75" customHeight="1" x14ac:dyDescent="0.25">
      <c r="A145" s="147"/>
      <c r="B145" s="147"/>
      <c r="C145" s="147"/>
      <c r="D145" s="147"/>
      <c r="E145" s="407"/>
      <c r="F145" s="407"/>
      <c r="G145" s="407"/>
      <c r="H145" s="407"/>
      <c r="I145" s="376"/>
      <c r="J145" s="376"/>
      <c r="K145" s="376"/>
      <c r="L145" s="376"/>
      <c r="M145" s="376"/>
      <c r="N145"/>
      <c r="O145"/>
      <c r="P145"/>
      <c r="Q145"/>
      <c r="R145"/>
      <c r="S145"/>
    </row>
    <row r="146" spans="1:100" ht="36.75" customHeight="1" x14ac:dyDescent="0.25">
      <c r="A146" s="146"/>
      <c r="B146" s="146"/>
      <c r="C146" s="146"/>
      <c r="D146" s="146"/>
      <c r="E146" s="150"/>
      <c r="F146" s="150"/>
      <c r="G146" s="150"/>
      <c r="H146" s="150"/>
      <c r="I146" s="375"/>
      <c r="J146" s="375"/>
      <c r="K146" s="375"/>
      <c r="L146" s="375"/>
      <c r="M146" s="375"/>
      <c r="N146"/>
      <c r="O146"/>
      <c r="P146"/>
      <c r="Q146"/>
      <c r="R146"/>
      <c r="S146"/>
    </row>
    <row r="147" spans="1:100" ht="36.75" customHeight="1" x14ac:dyDescent="0.25">
      <c r="A147" s="147"/>
      <c r="B147" s="147"/>
      <c r="C147" s="147"/>
      <c r="D147" s="147"/>
      <c r="E147" s="407"/>
      <c r="F147" s="407"/>
      <c r="G147" s="407"/>
      <c r="H147" s="407"/>
      <c r="I147" s="376"/>
      <c r="J147" s="376"/>
      <c r="K147" s="376"/>
      <c r="L147" s="376"/>
      <c r="M147" s="376"/>
      <c r="N147"/>
      <c r="O147"/>
      <c r="P147"/>
      <c r="Q147"/>
      <c r="R147"/>
      <c r="S147"/>
    </row>
    <row r="148" spans="1:100" ht="36.75" customHeight="1" thickBot="1" x14ac:dyDescent="0.3">
      <c r="A148" s="225">
        <v>41773</v>
      </c>
      <c r="B148" s="872" t="s">
        <v>182</v>
      </c>
      <c r="C148" s="872"/>
      <c r="D148" s="872"/>
      <c r="E148" s="872"/>
      <c r="F148" s="872"/>
      <c r="G148" s="872"/>
      <c r="H148" s="872"/>
      <c r="I148" s="872"/>
      <c r="J148" s="872"/>
      <c r="K148" s="872"/>
      <c r="L148" s="872"/>
      <c r="M148" s="872"/>
      <c r="N148"/>
      <c r="O148"/>
      <c r="P148"/>
      <c r="Q148"/>
      <c r="R148"/>
      <c r="S148"/>
    </row>
    <row r="149" spans="1:100" ht="81" customHeight="1" thickTop="1" x14ac:dyDescent="0.3">
      <c r="A149" s="158"/>
      <c r="B149" s="158"/>
      <c r="C149" s="158" t="s">
        <v>185</v>
      </c>
      <c r="D149" s="158"/>
      <c r="E149" s="158"/>
      <c r="F149" s="158"/>
      <c r="G149" s="158"/>
      <c r="H149" s="222"/>
      <c r="I149" s="158" t="s">
        <v>186</v>
      </c>
      <c r="J149" s="158" t="s">
        <v>187</v>
      </c>
      <c r="K149" s="158" t="s">
        <v>329</v>
      </c>
      <c r="L149" s="158" t="s">
        <v>330</v>
      </c>
      <c r="M149" s="222" t="s">
        <v>205</v>
      </c>
      <c r="N149"/>
      <c r="O149"/>
      <c r="P149"/>
      <c r="Q149"/>
      <c r="R149"/>
      <c r="S149"/>
    </row>
    <row r="150" spans="1:100" ht="36.75" customHeight="1" x14ac:dyDescent="0.25">
      <c r="A150" s="145"/>
      <c r="B150" s="149"/>
      <c r="C150" s="235" t="str">
        <f>+C81</f>
        <v>Subtotal Swaps</v>
      </c>
      <c r="D150" s="157"/>
      <c r="E150" s="157"/>
      <c r="F150" s="157"/>
      <c r="G150" s="157"/>
      <c r="H150" s="157"/>
      <c r="I150" s="376">
        <f>INDEX($A$76:$M$155,MATCH($O150,$C$76:$C$147,0),9)</f>
        <v>238.79999999999998</v>
      </c>
      <c r="J150" s="376">
        <f>INDEX($A$76:$M$155,MATCH($O150,$C$76:$C$147,0),10)</f>
        <v>193.12</v>
      </c>
      <c r="K150" s="376">
        <f>INDEX($A$76:$M$155,MATCH($O150,$C$76:$C$147,0),11)</f>
        <v>22</v>
      </c>
      <c r="L150" s="376">
        <f>INDEX($A$76:$M$155,MATCH($O150,$C$76:$C$147,0),12)</f>
        <v>24.15</v>
      </c>
      <c r="M150" s="376">
        <f>INDEX($A$76:$M$155,MATCH($O150,$C$76:$C$147,0),13)</f>
        <v>0</v>
      </c>
      <c r="N150"/>
      <c r="O150" t="s">
        <v>213</v>
      </c>
      <c r="P150"/>
      <c r="Q150"/>
      <c r="R150"/>
      <c r="S150"/>
    </row>
    <row r="151" spans="1:100" ht="36.75" customHeight="1" x14ac:dyDescent="0.25">
      <c r="A151" s="146"/>
      <c r="B151" s="150"/>
      <c r="C151" s="236" t="str">
        <f>+C105</f>
        <v>Subtotal Nat Gas</v>
      </c>
      <c r="D151" s="159"/>
      <c r="E151" s="159"/>
      <c r="F151" s="159"/>
      <c r="G151" s="159"/>
      <c r="H151" s="159"/>
      <c r="I151" s="375">
        <f>INDEX($A$76:$M$155,MATCH($O151,$C$76:$C$147,0),9)</f>
        <v>35.450000000000003</v>
      </c>
      <c r="J151" s="375">
        <f>INDEX($A$76:$M$155,MATCH($O151,$C$76:$C$147,0),10)</f>
        <v>17.239999999999998</v>
      </c>
      <c r="K151" s="375">
        <f>INDEX($A$76:$M$155,MATCH($O151,$C$76:$C$147,0),11)</f>
        <v>18.3</v>
      </c>
      <c r="L151" s="375">
        <f>INDEX($A$76:$M$155,MATCH($O151,$C$76:$C$147,0),12)</f>
        <v>-1.06</v>
      </c>
      <c r="M151" s="375">
        <f>INDEX($A$76:$M$155,MATCH($O151,$C$76:$C$147,0),13)</f>
        <v>35</v>
      </c>
      <c r="N151"/>
      <c r="O151" t="s">
        <v>305</v>
      </c>
      <c r="P151"/>
      <c r="Q151"/>
      <c r="R151"/>
      <c r="S151"/>
    </row>
    <row r="152" spans="1:100" s="97" customFormat="1" ht="36.75" customHeight="1" x14ac:dyDescent="0.25">
      <c r="A152" s="164"/>
      <c r="B152" s="152"/>
      <c r="C152" s="494" t="s">
        <v>214</v>
      </c>
      <c r="D152" s="167"/>
      <c r="E152" s="167"/>
      <c r="F152" s="167"/>
      <c r="G152" s="167"/>
      <c r="H152" s="167"/>
      <c r="I152" s="376">
        <f>INDEX($A$76:$M$155,MATCH($O152,$C$76:$C$147,0),9)</f>
        <v>0.92</v>
      </c>
      <c r="J152" s="376">
        <f>INDEX($A$76:$M$155,MATCH($O152,$C$76:$C$147,0),10)</f>
        <v>0</v>
      </c>
      <c r="K152" s="376">
        <f>INDEX($A$76:$M$155,MATCH($O152,$C$76:$C$147,0),11)</f>
        <v>0</v>
      </c>
      <c r="L152" s="376">
        <f>INDEX($A$76:$M$155,MATCH($O152,$C$76:$C$147,0),12)</f>
        <v>0</v>
      </c>
      <c r="M152" s="376">
        <f>INDEX($A$76:$M$155,MATCH($O152,$C$76:$C$147,0),13)</f>
        <v>0</v>
      </c>
      <c r="N152"/>
      <c r="O152" t="s">
        <v>214</v>
      </c>
      <c r="P152"/>
      <c r="Q152"/>
      <c r="R152"/>
      <c r="S152"/>
      <c r="CQ152" s="444"/>
      <c r="CV152" s="444"/>
    </row>
    <row r="153" spans="1:100" ht="36.75" customHeight="1" thickBot="1" x14ac:dyDescent="0.3">
      <c r="A153" s="146"/>
      <c r="B153" s="150"/>
      <c r="C153" s="237" t="str">
        <f>+C127</f>
        <v>Subtotal FX</v>
      </c>
      <c r="D153" s="150"/>
      <c r="E153" s="153"/>
      <c r="F153" s="150"/>
      <c r="G153" s="155"/>
      <c r="H153" s="150"/>
      <c r="I153" s="375">
        <f>INDEX($A$76:$M$155,MATCH($O153,$C$76:$C$147,0),9)</f>
        <v>7.0000000000000007E-2</v>
      </c>
      <c r="J153" s="375">
        <f>INDEX($A$76:$M$155,MATCH($O153,$C$76:$C$147,0),10)</f>
        <v>7.0000000000000007E-2</v>
      </c>
      <c r="K153" s="375">
        <f>INDEX($A$76:$M$155,MATCH($O153,$C$76:$C$147,0),11)</f>
        <v>7.0000000000000007E-2</v>
      </c>
      <c r="L153" s="375">
        <f>-INDEX($A$76:$M$155,MATCH($O153,$C$76:$C$147,0),12)</f>
        <v>0</v>
      </c>
      <c r="M153" s="375">
        <v>0</v>
      </c>
      <c r="N153"/>
      <c r="O153" t="s">
        <v>215</v>
      </c>
      <c r="P153"/>
      <c r="Q153"/>
      <c r="R153"/>
      <c r="S153"/>
    </row>
    <row r="154" spans="1:100" ht="36.75" customHeight="1" thickBot="1" x14ac:dyDescent="0.3">
      <c r="A154" s="164"/>
      <c r="B154" s="152"/>
      <c r="C154" s="238" t="s">
        <v>85</v>
      </c>
      <c r="D154" s="160"/>
      <c r="E154" s="165"/>
      <c r="F154" s="160"/>
      <c r="G154" s="166"/>
      <c r="H154" s="411"/>
      <c r="I154" s="413">
        <f>SUM(I150:I153)</f>
        <v>275.24</v>
      </c>
      <c r="J154" s="414">
        <f>SUM(J150:J153)</f>
        <v>210.43</v>
      </c>
      <c r="K154" s="414">
        <f>SUM(K150:K153)</f>
        <v>40.369999999999997</v>
      </c>
      <c r="L154" s="415">
        <f>SUM(L150:L153)</f>
        <v>23.09</v>
      </c>
      <c r="M154" s="412"/>
      <c r="N154"/>
      <c r="O154"/>
      <c r="P154"/>
      <c r="Q154"/>
      <c r="R154"/>
      <c r="S154"/>
    </row>
    <row r="155" spans="1:100" ht="36.75" customHeight="1" x14ac:dyDescent="0.25">
      <c r="A155" s="148"/>
      <c r="B155" s="151"/>
      <c r="C155" s="151"/>
      <c r="D155" s="151"/>
      <c r="E155" s="154"/>
      <c r="F155" s="151"/>
      <c r="G155" s="156"/>
      <c r="H155" s="151"/>
      <c r="I155" s="416"/>
      <c r="J155" s="416"/>
      <c r="K155" s="416"/>
      <c r="L155" s="416"/>
      <c r="M155" s="416"/>
    </row>
    <row r="158" spans="1:100" ht="15.6" thickBot="1" x14ac:dyDescent="0.3"/>
    <row r="159" spans="1:100" x14ac:dyDescent="0.25">
      <c r="O159" s="239">
        <v>1</v>
      </c>
      <c r="P159" s="240" t="s">
        <v>160</v>
      </c>
    </row>
    <row r="160" spans="1:100" x14ac:dyDescent="0.25">
      <c r="O160" s="241">
        <v>2</v>
      </c>
      <c r="P160" s="242" t="s">
        <v>161</v>
      </c>
    </row>
    <row r="161" spans="15:16" x14ac:dyDescent="0.25">
      <c r="O161" s="241">
        <v>3</v>
      </c>
      <c r="P161" s="242" t="s">
        <v>162</v>
      </c>
    </row>
    <row r="162" spans="15:16" x14ac:dyDescent="0.25">
      <c r="O162" s="241">
        <v>4</v>
      </c>
      <c r="P162" s="242" t="s">
        <v>163</v>
      </c>
    </row>
    <row r="163" spans="15:16" x14ac:dyDescent="0.25">
      <c r="O163" s="241">
        <v>5</v>
      </c>
      <c r="P163" s="242" t="s">
        <v>164</v>
      </c>
    </row>
    <row r="164" spans="15:16" x14ac:dyDescent="0.25">
      <c r="O164" s="241">
        <v>6</v>
      </c>
      <c r="P164" s="242" t="s">
        <v>165</v>
      </c>
    </row>
    <row r="165" spans="15:16" x14ac:dyDescent="0.25">
      <c r="O165" s="241">
        <v>7</v>
      </c>
      <c r="P165" s="242" t="s">
        <v>166</v>
      </c>
    </row>
    <row r="166" spans="15:16" x14ac:dyDescent="0.25">
      <c r="O166" s="241">
        <v>8</v>
      </c>
      <c r="P166" s="242" t="s">
        <v>167</v>
      </c>
    </row>
    <row r="167" spans="15:16" x14ac:dyDescent="0.25">
      <c r="O167" s="241">
        <v>9</v>
      </c>
      <c r="P167" s="242" t="s">
        <v>168</v>
      </c>
    </row>
    <row r="168" spans="15:16" x14ac:dyDescent="0.25">
      <c r="O168" s="241">
        <v>10</v>
      </c>
      <c r="P168" s="242" t="s">
        <v>169</v>
      </c>
    </row>
    <row r="169" spans="15:16" x14ac:dyDescent="0.25">
      <c r="O169" s="241">
        <v>11</v>
      </c>
      <c r="P169" s="242" t="s">
        <v>170</v>
      </c>
    </row>
    <row r="170" spans="15:16" ht="15.6" thickBot="1" x14ac:dyDescent="0.3">
      <c r="O170" s="243">
        <v>12</v>
      </c>
      <c r="P170" s="244" t="s">
        <v>171</v>
      </c>
    </row>
    <row r="171" spans="15:16" x14ac:dyDescent="0.25">
      <c r="O171" s="871" t="s">
        <v>216</v>
      </c>
      <c r="P171" s="871"/>
    </row>
  </sheetData>
  <mergeCells count="8">
    <mergeCell ref="B1:C1"/>
    <mergeCell ref="F1:G1"/>
    <mergeCell ref="J1:L1"/>
    <mergeCell ref="O171:P171"/>
    <mergeCell ref="B75:M75"/>
    <mergeCell ref="B99:M99"/>
    <mergeCell ref="B124:M124"/>
    <mergeCell ref="B148:M148"/>
  </mergeCells>
  <printOptions horizontalCentered="1"/>
  <pageMargins left="0.25" right="0.25" top="0.5" bottom="0.5" header="0.25" footer="0.3"/>
  <pageSetup scale="37" orientation="landscape" r:id="rId1"/>
  <headerFooter>
    <oddHeader>&amp;L&amp;"Times New Roman,Bold"&amp;22University of Illinois&amp;C&amp;"Times New Roman,Bold"&amp;24Hedging Position Dashboard&amp;R&amp;"Times New Roman,Regular"&amp;22As of May 31, 2014</oddHeader>
    <oddFooter>&amp;C&amp;"Times New Roman,Regular"&amp;24Page 2 of 3</oddFooter>
  </headerFooter>
  <rowBreaks count="4" manualBreakCount="4">
    <brk id="74" max="16383" man="1"/>
    <brk id="98" max="16383" man="1"/>
    <brk id="123" max="16383" man="1"/>
    <brk id="14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0657" r:id="rId4" name="Button 1">
              <controlPr defaultSize="0" print="0" autoFill="0" autoPict="0" macro="[0]!NewMonthReport">
                <anchor moveWithCells="1" sizeWithCells="1">
                  <from>
                    <xdr:col>0</xdr:col>
                    <xdr:colOff>1257300</xdr:colOff>
                    <xdr:row>0</xdr:row>
                    <xdr:rowOff>0</xdr:rowOff>
                  </from>
                  <to>
                    <xdr:col>0</xdr:col>
                    <xdr:colOff>1333500</xdr:colOff>
                    <xdr:row>0</xdr:row>
                    <xdr:rowOff>53340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5">
    <tabColor rgb="FF0000FF"/>
    <pageSetUpPr fitToPage="1"/>
  </sheetPr>
  <dimension ref="A1:M43"/>
  <sheetViews>
    <sheetView view="pageLayout" zoomScaleNormal="100" workbookViewId="0">
      <selection activeCell="D20" sqref="D20"/>
    </sheetView>
  </sheetViews>
  <sheetFormatPr defaultColWidth="8.77734375" defaultRowHeight="13.2" x14ac:dyDescent="0.25"/>
  <cols>
    <col min="1" max="1" width="16.109375" style="509" customWidth="1"/>
    <col min="2" max="2" width="20.109375" style="509" customWidth="1"/>
    <col min="3" max="3" width="21.109375" style="509" customWidth="1"/>
    <col min="4" max="4" width="22.109375" style="509" customWidth="1"/>
    <col min="5" max="5" width="18" style="509" customWidth="1"/>
    <col min="6" max="6" width="12.6640625" style="509" customWidth="1"/>
    <col min="7" max="7" width="11.77734375" style="509" customWidth="1"/>
    <col min="8" max="8" width="16.6640625" style="509" customWidth="1"/>
    <col min="9" max="10" width="11.33203125" style="509" bestFit="1" customWidth="1"/>
    <col min="11" max="11" width="11.6640625" style="509" customWidth="1"/>
    <col min="12" max="12" width="12.6640625" style="509" customWidth="1"/>
    <col min="13" max="13" width="13" style="509" customWidth="1"/>
  </cols>
  <sheetData>
    <row r="1" spans="1:13" ht="13.8" thickBot="1" x14ac:dyDescent="0.3"/>
    <row r="2" spans="1:13" s="580" customFormat="1" ht="23.4" thickBot="1" x14ac:dyDescent="0.3">
      <c r="A2" s="877" t="s">
        <v>422</v>
      </c>
      <c r="B2" s="878"/>
      <c r="C2" s="878"/>
      <c r="D2" s="878"/>
      <c r="E2" s="878"/>
      <c r="F2" s="878"/>
      <c r="G2" s="878"/>
      <c r="H2" s="878"/>
      <c r="I2" s="878"/>
      <c r="J2" s="878"/>
      <c r="K2" s="878"/>
      <c r="L2" s="878"/>
      <c r="M2" s="879"/>
    </row>
    <row r="3" spans="1:13" s="584" customFormat="1" ht="16.2" thickBot="1" x14ac:dyDescent="0.35">
      <c r="A3" s="583"/>
      <c r="B3" s="583"/>
      <c r="C3" s="583"/>
      <c r="D3" s="583"/>
      <c r="E3" s="583"/>
      <c r="F3" s="583"/>
      <c r="G3" s="583"/>
      <c r="H3" s="583"/>
      <c r="I3" s="583"/>
      <c r="J3" s="583"/>
      <c r="K3" s="583"/>
      <c r="L3" s="583"/>
      <c r="M3" s="583"/>
    </row>
    <row r="4" spans="1:13" ht="23.4" thickBot="1" x14ac:dyDescent="0.3">
      <c r="A4" s="874" t="s">
        <v>427</v>
      </c>
      <c r="B4" s="875"/>
      <c r="C4" s="875"/>
      <c r="D4" s="875"/>
      <c r="E4" s="875"/>
      <c r="F4" s="875"/>
      <c r="G4" s="875"/>
      <c r="H4" s="875"/>
      <c r="I4" s="875"/>
      <c r="J4" s="875"/>
      <c r="K4" s="875"/>
      <c r="L4" s="875"/>
      <c r="M4" s="876"/>
    </row>
    <row r="5" spans="1:13" s="545" customFormat="1" ht="47.4" thickBot="1" x14ac:dyDescent="0.35">
      <c r="A5" s="585" t="s">
        <v>89</v>
      </c>
      <c r="B5" s="586" t="s">
        <v>90</v>
      </c>
      <c r="C5" s="586" t="s">
        <v>0</v>
      </c>
      <c r="D5" s="586" t="s">
        <v>124</v>
      </c>
      <c r="E5" s="586" t="s">
        <v>337</v>
      </c>
      <c r="F5" s="586" t="s">
        <v>13</v>
      </c>
      <c r="G5" s="586" t="s">
        <v>332</v>
      </c>
      <c r="H5" s="586" t="s">
        <v>12</v>
      </c>
      <c r="I5" s="586" t="s">
        <v>147</v>
      </c>
      <c r="J5" s="586" t="s">
        <v>148</v>
      </c>
      <c r="K5" s="586" t="s">
        <v>329</v>
      </c>
      <c r="L5" s="586" t="s">
        <v>416</v>
      </c>
      <c r="M5" s="587" t="s">
        <v>423</v>
      </c>
    </row>
    <row r="6" spans="1:13" ht="31.95" customHeight="1" x14ac:dyDescent="0.25">
      <c r="A6" s="511" t="s">
        <v>84</v>
      </c>
      <c r="B6" s="498" t="s">
        <v>3</v>
      </c>
      <c r="C6" s="498" t="s">
        <v>307</v>
      </c>
      <c r="D6" s="498" t="s">
        <v>307</v>
      </c>
      <c r="E6" s="499" t="s">
        <v>350</v>
      </c>
      <c r="F6" s="499" t="s">
        <v>426</v>
      </c>
      <c r="G6" s="500">
        <v>44423</v>
      </c>
      <c r="H6" s="499" t="s">
        <v>23</v>
      </c>
      <c r="I6" s="501">
        <f>ROUND(Report!I77,2)</f>
        <v>143.66999999999999</v>
      </c>
      <c r="J6" s="501">
        <f>ROUND(Report!J77,2)</f>
        <v>110.75</v>
      </c>
      <c r="K6" s="501">
        <f>L6</f>
        <v>13.23</v>
      </c>
      <c r="L6" s="501">
        <f>ROUND(Report!L77,2)</f>
        <v>13.23</v>
      </c>
      <c r="M6" s="512"/>
    </row>
    <row r="7" spans="1:13" ht="31.95" customHeight="1" thickBot="1" x14ac:dyDescent="0.3">
      <c r="A7" s="516" t="s">
        <v>84</v>
      </c>
      <c r="B7" s="503" t="s">
        <v>3</v>
      </c>
      <c r="C7" s="503" t="s">
        <v>307</v>
      </c>
      <c r="D7" s="503" t="s">
        <v>307</v>
      </c>
      <c r="E7" s="504" t="s">
        <v>350</v>
      </c>
      <c r="F7" s="504" t="s">
        <v>426</v>
      </c>
      <c r="G7" s="505">
        <v>44576</v>
      </c>
      <c r="H7" s="504" t="s">
        <v>24</v>
      </c>
      <c r="I7" s="506">
        <f>ROUND(Report!I78,2)</f>
        <v>27.4</v>
      </c>
      <c r="J7" s="506">
        <f>ROUND(Report!J78,2)</f>
        <v>23.6</v>
      </c>
      <c r="K7" s="506">
        <f>L7</f>
        <v>3.13</v>
      </c>
      <c r="L7" s="506">
        <f>ROUND(Report!L78,2)</f>
        <v>3.13</v>
      </c>
      <c r="M7" s="514"/>
    </row>
    <row r="8" spans="1:13" ht="18.600000000000001" thickBot="1" x14ac:dyDescent="0.3">
      <c r="A8" s="588"/>
      <c r="B8" s="589" t="s">
        <v>344</v>
      </c>
      <c r="C8" s="590"/>
      <c r="D8" s="590"/>
      <c r="E8" s="591"/>
      <c r="F8" s="591"/>
      <c r="G8" s="592"/>
      <c r="H8" s="593"/>
      <c r="I8" s="594">
        <f>I6+I7</f>
        <v>171.07</v>
      </c>
      <c r="J8" s="594">
        <f t="shared" ref="J8:L8" si="0">J6+J7</f>
        <v>134.35</v>
      </c>
      <c r="K8" s="594">
        <f t="shared" si="0"/>
        <v>16.36</v>
      </c>
      <c r="L8" s="595">
        <f t="shared" si="0"/>
        <v>16.36</v>
      </c>
      <c r="M8" s="596"/>
    </row>
    <row r="9" spans="1:13" s="545" customFormat="1" ht="31.95" customHeight="1" x14ac:dyDescent="0.25">
      <c r="A9" s="603" t="s">
        <v>84</v>
      </c>
      <c r="B9" s="604" t="s">
        <v>3</v>
      </c>
      <c r="C9" s="604" t="s">
        <v>308</v>
      </c>
      <c r="D9" s="604" t="s">
        <v>308</v>
      </c>
      <c r="E9" s="534" t="s">
        <v>333</v>
      </c>
      <c r="F9" s="534" t="s">
        <v>426</v>
      </c>
      <c r="G9" s="533">
        <v>44576</v>
      </c>
      <c r="H9" s="534" t="s">
        <v>24</v>
      </c>
      <c r="I9" s="605">
        <f>ROUND(Report!I79,2)</f>
        <v>26.85</v>
      </c>
      <c r="J9" s="605">
        <f>ROUND(Report!J79,2)</f>
        <v>23.18</v>
      </c>
      <c r="K9" s="605">
        <f>L9</f>
        <v>3.07</v>
      </c>
      <c r="L9" s="605">
        <f>ROUND(Report!L79,2)</f>
        <v>3.07</v>
      </c>
      <c r="M9" s="606"/>
    </row>
    <row r="10" spans="1:13" ht="31.95" customHeight="1" thickBot="1" x14ac:dyDescent="0.3">
      <c r="A10" s="597" t="s">
        <v>84</v>
      </c>
      <c r="B10" s="598" t="s">
        <v>3</v>
      </c>
      <c r="C10" s="598" t="s">
        <v>309</v>
      </c>
      <c r="D10" s="598" t="s">
        <v>125</v>
      </c>
      <c r="E10" s="599" t="s">
        <v>351</v>
      </c>
      <c r="F10" s="599" t="s">
        <v>426</v>
      </c>
      <c r="G10" s="600">
        <v>46296</v>
      </c>
      <c r="H10" s="599" t="s">
        <v>25</v>
      </c>
      <c r="I10" s="601">
        <f>ROUND(Report!I80,2)</f>
        <v>40.880000000000003</v>
      </c>
      <c r="J10" s="601">
        <f>ROUND(Report!J80,2)</f>
        <v>35.590000000000003</v>
      </c>
      <c r="K10" s="601">
        <f>L10</f>
        <v>4.72</v>
      </c>
      <c r="L10" s="601">
        <f>ROUND(Report!L80,2)</f>
        <v>4.72</v>
      </c>
      <c r="M10" s="602"/>
    </row>
    <row r="11" spans="1:13" s="545" customFormat="1" ht="21" thickBot="1" x14ac:dyDescent="0.3">
      <c r="A11" s="880" t="s">
        <v>408</v>
      </c>
      <c r="B11" s="881"/>
      <c r="C11" s="881"/>
      <c r="D11" s="881"/>
      <c r="E11" s="881"/>
      <c r="F11" s="881"/>
      <c r="G11" s="881"/>
      <c r="H11" s="882"/>
      <c r="I11" s="628">
        <f>I8+I9+I10</f>
        <v>238.79999999999998</v>
      </c>
      <c r="J11" s="628">
        <f t="shared" ref="J11:L11" si="1">J8+J9+J10</f>
        <v>193.12</v>
      </c>
      <c r="K11" s="628">
        <f t="shared" si="1"/>
        <v>24.15</v>
      </c>
      <c r="L11" s="628">
        <f t="shared" si="1"/>
        <v>24.15</v>
      </c>
      <c r="M11" s="629"/>
    </row>
    <row r="12" spans="1:13" s="545" customFormat="1" ht="18" thickBot="1" x14ac:dyDescent="0.3">
      <c r="A12" s="609"/>
      <c r="B12" s="609"/>
      <c r="C12" s="609"/>
      <c r="D12" s="609"/>
      <c r="E12" s="609"/>
      <c r="F12" s="609"/>
      <c r="G12" s="609"/>
      <c r="H12" s="609"/>
      <c r="I12" s="610"/>
      <c r="J12" s="610"/>
      <c r="K12" s="610"/>
      <c r="L12" s="610"/>
      <c r="M12" s="611"/>
    </row>
    <row r="13" spans="1:13" ht="23.4" thickBot="1" x14ac:dyDescent="0.3">
      <c r="A13" s="874" t="s">
        <v>428</v>
      </c>
      <c r="B13" s="875"/>
      <c r="C13" s="875"/>
      <c r="D13" s="875"/>
      <c r="E13" s="875"/>
      <c r="F13" s="875"/>
      <c r="G13" s="875"/>
      <c r="H13" s="875"/>
      <c r="I13" s="875"/>
      <c r="J13" s="875"/>
      <c r="K13" s="875"/>
      <c r="L13" s="875"/>
      <c r="M13" s="876"/>
    </row>
    <row r="14" spans="1:13" s="545" customFormat="1" ht="47.4" thickBot="1" x14ac:dyDescent="0.35">
      <c r="A14" s="585" t="s">
        <v>89</v>
      </c>
      <c r="B14" s="586" t="s">
        <v>90</v>
      </c>
      <c r="C14" s="586" t="s">
        <v>0</v>
      </c>
      <c r="D14" s="586" t="s">
        <v>124</v>
      </c>
      <c r="E14" s="586" t="s">
        <v>337</v>
      </c>
      <c r="F14" s="586" t="s">
        <v>13</v>
      </c>
      <c r="G14" s="586" t="s">
        <v>332</v>
      </c>
      <c r="H14" s="586" t="s">
        <v>12</v>
      </c>
      <c r="I14" s="586" t="s">
        <v>420</v>
      </c>
      <c r="J14" s="586" t="s">
        <v>157</v>
      </c>
      <c r="K14" s="586" t="s">
        <v>421</v>
      </c>
      <c r="L14" s="586" t="s">
        <v>416</v>
      </c>
      <c r="M14" s="587" t="s">
        <v>349</v>
      </c>
    </row>
    <row r="15" spans="1:13" ht="31.95" customHeight="1" x14ac:dyDescent="0.25">
      <c r="A15" s="511" t="s">
        <v>8</v>
      </c>
      <c r="B15" s="498" t="s">
        <v>7</v>
      </c>
      <c r="C15" s="498" t="s">
        <v>238</v>
      </c>
      <c r="D15" s="498" t="s">
        <v>415</v>
      </c>
      <c r="E15" s="499" t="s">
        <v>352</v>
      </c>
      <c r="F15" s="499" t="s">
        <v>22</v>
      </c>
      <c r="G15" s="500">
        <v>41820</v>
      </c>
      <c r="H15" s="499" t="s">
        <v>132</v>
      </c>
      <c r="I15" s="501">
        <f>ROUND(Report!I101,2)</f>
        <v>19.27</v>
      </c>
      <c r="J15" s="501">
        <f>ROUND(Report!J101,2)</f>
        <v>1.06</v>
      </c>
      <c r="K15" s="501"/>
      <c r="L15" s="502"/>
      <c r="M15" s="512"/>
    </row>
    <row r="16" spans="1:13" ht="31.95" customHeight="1" x14ac:dyDescent="0.25">
      <c r="A16" s="513" t="s">
        <v>8</v>
      </c>
      <c r="B16" s="503" t="s">
        <v>7</v>
      </c>
      <c r="C16" s="503" t="s">
        <v>238</v>
      </c>
      <c r="D16" s="503" t="s">
        <v>415</v>
      </c>
      <c r="E16" s="504" t="s">
        <v>352</v>
      </c>
      <c r="F16" s="504" t="s">
        <v>22</v>
      </c>
      <c r="G16" s="533">
        <v>42185</v>
      </c>
      <c r="H16" s="534" t="s">
        <v>133</v>
      </c>
      <c r="I16" s="506">
        <f>ROUND(Report!I102,2)</f>
        <v>13.91</v>
      </c>
      <c r="J16" s="506">
        <f>ROUND(Report!J102,2)</f>
        <v>13.91</v>
      </c>
      <c r="K16" s="506"/>
      <c r="L16" s="507"/>
      <c r="M16" s="514"/>
    </row>
    <row r="17" spans="1:13" ht="31.95" customHeight="1" thickBot="1" x14ac:dyDescent="0.3">
      <c r="A17" s="511" t="s">
        <v>8</v>
      </c>
      <c r="B17" s="498" t="s">
        <v>7</v>
      </c>
      <c r="C17" s="498" t="s">
        <v>238</v>
      </c>
      <c r="D17" s="498" t="s">
        <v>415</v>
      </c>
      <c r="E17" s="499" t="s">
        <v>352</v>
      </c>
      <c r="F17" s="499" t="s">
        <v>22</v>
      </c>
      <c r="G17" s="500">
        <v>42551</v>
      </c>
      <c r="H17" s="499" t="s">
        <v>300</v>
      </c>
      <c r="I17" s="501">
        <f>ROUND(Report!I103,2)</f>
        <v>2.27</v>
      </c>
      <c r="J17" s="501">
        <f>ROUND(Report!J103,2)</f>
        <v>2.27</v>
      </c>
      <c r="K17" s="501"/>
      <c r="L17" s="502"/>
      <c r="M17" s="512"/>
    </row>
    <row r="18" spans="1:13" ht="31.95" hidden="1" customHeight="1" thickBot="1" x14ac:dyDescent="0.3">
      <c r="A18" s="516" t="s">
        <v>8</v>
      </c>
      <c r="B18" s="503" t="s">
        <v>7</v>
      </c>
      <c r="C18" s="503" t="s">
        <v>239</v>
      </c>
      <c r="D18" s="503" t="s">
        <v>238</v>
      </c>
      <c r="E18" s="504" t="s">
        <v>334</v>
      </c>
      <c r="F18" s="504" t="s">
        <v>22</v>
      </c>
      <c r="G18" s="505">
        <v>42916</v>
      </c>
      <c r="H18" s="504" t="s">
        <v>345</v>
      </c>
      <c r="I18" s="506">
        <f>ROUND(Report!I104,2)</f>
        <v>0</v>
      </c>
      <c r="J18" s="506">
        <f>ROUND(Report!J104,2)</f>
        <v>0</v>
      </c>
      <c r="K18" s="507"/>
      <c r="L18" s="507"/>
      <c r="M18" s="514"/>
    </row>
    <row r="19" spans="1:13" ht="18" thickBot="1" x14ac:dyDescent="0.3">
      <c r="A19" s="613"/>
      <c r="B19" s="517" t="s">
        <v>339</v>
      </c>
      <c r="C19" s="524"/>
      <c r="D19" s="519"/>
      <c r="E19" s="525"/>
      <c r="F19" s="521"/>
      <c r="G19" s="521"/>
      <c r="H19" s="522"/>
      <c r="I19" s="523">
        <f>SUM(I15:I18)</f>
        <v>35.450000000000003</v>
      </c>
      <c r="J19" s="523">
        <f>SUM(J15:J18)</f>
        <v>17.240000000000002</v>
      </c>
      <c r="K19" s="523">
        <f>ROUND(Report!K105,2)</f>
        <v>18.3</v>
      </c>
      <c r="L19" s="523">
        <f>ROUND(Report!L105,2)</f>
        <v>-1.06</v>
      </c>
      <c r="M19" s="526">
        <f>ROUND(Report!M105,2)</f>
        <v>35</v>
      </c>
    </row>
    <row r="20" spans="1:13" ht="31.95" customHeight="1" thickBot="1" x14ac:dyDescent="0.3">
      <c r="A20" s="511" t="s">
        <v>8</v>
      </c>
      <c r="B20" s="498" t="s">
        <v>7</v>
      </c>
      <c r="C20" s="498" t="s">
        <v>27</v>
      </c>
      <c r="D20" s="498" t="s">
        <v>127</v>
      </c>
      <c r="E20" s="499" t="s">
        <v>353</v>
      </c>
      <c r="F20" s="499" t="s">
        <v>22</v>
      </c>
      <c r="G20" s="500">
        <v>41820</v>
      </c>
      <c r="H20" s="499" t="s">
        <v>138</v>
      </c>
      <c r="I20" s="501">
        <f>ROUND(Report!I107,2)</f>
        <v>0.92</v>
      </c>
      <c r="J20" s="501">
        <f>ROUND(Report!J107,2)</f>
        <v>0</v>
      </c>
      <c r="K20" s="502"/>
      <c r="L20" s="502"/>
      <c r="M20" s="512"/>
    </row>
    <row r="21" spans="1:13" ht="31.95" hidden="1" customHeight="1" thickBot="1" x14ac:dyDescent="0.3">
      <c r="A21" s="513" t="s">
        <v>8</v>
      </c>
      <c r="B21" s="503" t="s">
        <v>7</v>
      </c>
      <c r="C21" s="503" t="s">
        <v>27</v>
      </c>
      <c r="D21" s="503" t="s">
        <v>127</v>
      </c>
      <c r="E21" s="504" t="s">
        <v>335</v>
      </c>
      <c r="F21" s="504" t="s">
        <v>22</v>
      </c>
      <c r="G21" s="505"/>
      <c r="H21" s="504"/>
      <c r="I21" s="506">
        <f>ROUND(Report!I108,2)</f>
        <v>0</v>
      </c>
      <c r="J21" s="506">
        <f>ROUND(Report!J108,2)</f>
        <v>0</v>
      </c>
      <c r="K21" s="507"/>
      <c r="L21" s="507"/>
      <c r="M21" s="514"/>
    </row>
    <row r="22" spans="1:13" ht="31.95" hidden="1" customHeight="1" x14ac:dyDescent="0.25">
      <c r="A22" s="511" t="s">
        <v>8</v>
      </c>
      <c r="B22" s="498" t="s">
        <v>7</v>
      </c>
      <c r="C22" s="498" t="s">
        <v>27</v>
      </c>
      <c r="D22" s="498" t="s">
        <v>127</v>
      </c>
      <c r="E22" s="499" t="s">
        <v>335</v>
      </c>
      <c r="F22" s="499" t="s">
        <v>22</v>
      </c>
      <c r="G22" s="500">
        <v>42185</v>
      </c>
      <c r="H22" s="499" t="s">
        <v>139</v>
      </c>
      <c r="I22" s="501">
        <f>ROUND(Report!I109,2)</f>
        <v>0</v>
      </c>
      <c r="J22" s="501">
        <f>ROUND(Report!J109,2)</f>
        <v>0</v>
      </c>
      <c r="K22" s="502"/>
      <c r="L22" s="502"/>
      <c r="M22" s="512"/>
    </row>
    <row r="23" spans="1:13" ht="31.95" hidden="1" customHeight="1" thickBot="1" x14ac:dyDescent="0.3">
      <c r="A23" s="516" t="s">
        <v>8</v>
      </c>
      <c r="B23" s="503" t="s">
        <v>7</v>
      </c>
      <c r="C23" s="503" t="s">
        <v>27</v>
      </c>
      <c r="D23" s="503" t="s">
        <v>127</v>
      </c>
      <c r="E23" s="504" t="s">
        <v>335</v>
      </c>
      <c r="F23" s="504" t="s">
        <v>22</v>
      </c>
      <c r="G23" s="505">
        <v>42551</v>
      </c>
      <c r="H23" s="504" t="s">
        <v>301</v>
      </c>
      <c r="I23" s="506">
        <f>ROUND(Report!I110,2)</f>
        <v>0</v>
      </c>
      <c r="J23" s="506">
        <f>ROUND(Report!J110,2)</f>
        <v>0</v>
      </c>
      <c r="K23" s="507"/>
      <c r="L23" s="507"/>
      <c r="M23" s="514"/>
    </row>
    <row r="24" spans="1:13" ht="18" thickBot="1" x14ac:dyDescent="0.3">
      <c r="A24" s="613"/>
      <c r="B24" s="517" t="s">
        <v>340</v>
      </c>
      <c r="C24" s="524"/>
      <c r="D24" s="519"/>
      <c r="E24" s="521"/>
      <c r="F24" s="521"/>
      <c r="G24" s="521"/>
      <c r="H24" s="522"/>
      <c r="I24" s="523">
        <f>SUM(I20:I23)</f>
        <v>0.92</v>
      </c>
      <c r="J24" s="523">
        <f>SUM(J20:J23)</f>
        <v>0</v>
      </c>
      <c r="K24" s="523">
        <f>ROUND(Report!K111,2)</f>
        <v>0</v>
      </c>
      <c r="L24" s="523">
        <f>ROUND(Report!L111,2)</f>
        <v>0</v>
      </c>
      <c r="M24" s="543">
        <v>10</v>
      </c>
    </row>
    <row r="25" spans="1:13" ht="31.95" customHeight="1" x14ac:dyDescent="0.25">
      <c r="A25" s="511" t="s">
        <v>8</v>
      </c>
      <c r="B25" s="498" t="s">
        <v>7</v>
      </c>
      <c r="C25" s="498" t="s">
        <v>419</v>
      </c>
      <c r="D25" s="498" t="s">
        <v>419</v>
      </c>
      <c r="E25" s="499" t="s">
        <v>335</v>
      </c>
      <c r="F25" s="499" t="s">
        <v>22</v>
      </c>
      <c r="G25" s="500">
        <v>41820</v>
      </c>
      <c r="H25" s="499" t="s">
        <v>138</v>
      </c>
      <c r="I25" s="501">
        <f>ROUND(Report!I113,2)</f>
        <v>3.32</v>
      </c>
      <c r="J25" s="501">
        <f>ROUND(Report!J113,2)</f>
        <v>0.43</v>
      </c>
      <c r="K25" s="502"/>
      <c r="L25" s="502"/>
      <c r="M25" s="512"/>
    </row>
    <row r="26" spans="1:13" ht="31.95" customHeight="1" x14ac:dyDescent="0.25">
      <c r="A26" s="513" t="s">
        <v>8</v>
      </c>
      <c r="B26" s="503" t="s">
        <v>7</v>
      </c>
      <c r="C26" s="503" t="s">
        <v>419</v>
      </c>
      <c r="D26" s="503" t="s">
        <v>419</v>
      </c>
      <c r="E26" s="504" t="s">
        <v>335</v>
      </c>
      <c r="F26" s="504" t="s">
        <v>22</v>
      </c>
      <c r="G26" s="533">
        <v>42185</v>
      </c>
      <c r="H26" s="534" t="s">
        <v>139</v>
      </c>
      <c r="I26" s="506">
        <f>ROUND(Report!I114,2)</f>
        <v>1.55</v>
      </c>
      <c r="J26" s="506">
        <f>ROUND(Report!J114,2)</f>
        <v>1.55</v>
      </c>
      <c r="K26" s="507"/>
      <c r="L26" s="507"/>
      <c r="M26" s="514"/>
    </row>
    <row r="27" spans="1:13" ht="31.95" customHeight="1" thickBot="1" x14ac:dyDescent="0.3">
      <c r="A27" s="542" t="s">
        <v>8</v>
      </c>
      <c r="B27" s="498" t="s">
        <v>7</v>
      </c>
      <c r="C27" s="498" t="s">
        <v>419</v>
      </c>
      <c r="D27" s="498" t="s">
        <v>419</v>
      </c>
      <c r="E27" s="508" t="s">
        <v>335</v>
      </c>
      <c r="F27" s="499" t="s">
        <v>22</v>
      </c>
      <c r="G27" s="500">
        <v>42551</v>
      </c>
      <c r="H27" s="499" t="s">
        <v>301</v>
      </c>
      <c r="I27" s="501">
        <f>ROUND(Report!I115,2)</f>
        <v>0.72</v>
      </c>
      <c r="J27" s="501">
        <f>ROUND(Report!J115,2)</f>
        <v>0.72</v>
      </c>
      <c r="K27" s="502"/>
      <c r="L27" s="502"/>
      <c r="M27" s="512"/>
    </row>
    <row r="28" spans="1:13" ht="32.25" hidden="1" customHeight="1" thickBot="1" x14ac:dyDescent="0.3">
      <c r="A28" s="516" t="s">
        <v>8</v>
      </c>
      <c r="B28" s="503" t="s">
        <v>7</v>
      </c>
      <c r="C28" s="503" t="s">
        <v>92</v>
      </c>
      <c r="D28" s="503" t="s">
        <v>128</v>
      </c>
      <c r="E28" s="504" t="s">
        <v>335</v>
      </c>
      <c r="F28" s="504" t="s">
        <v>22</v>
      </c>
      <c r="G28" s="505">
        <v>42916</v>
      </c>
      <c r="H28" s="504" t="s">
        <v>346</v>
      </c>
      <c r="I28" s="506">
        <f>ROUND(Report!I120,2)</f>
        <v>0</v>
      </c>
      <c r="J28" s="506">
        <f>ROUND(Report!J120,2)</f>
        <v>0</v>
      </c>
      <c r="K28" s="507"/>
      <c r="L28" s="507"/>
      <c r="M28" s="514"/>
    </row>
    <row r="29" spans="1:13" ht="18.600000000000001" thickBot="1" x14ac:dyDescent="0.4">
      <c r="A29" s="614"/>
      <c r="B29" s="517" t="s">
        <v>341</v>
      </c>
      <c r="C29" s="527"/>
      <c r="D29" s="519"/>
      <c r="E29" s="521"/>
      <c r="F29" s="521"/>
      <c r="G29" s="521"/>
      <c r="H29" s="522"/>
      <c r="I29" s="523">
        <f>SUM(I25:I28)</f>
        <v>5.59</v>
      </c>
      <c r="J29" s="523">
        <f>SUM(J25:J28)</f>
        <v>2.7</v>
      </c>
      <c r="K29" s="523">
        <f>ROUND(Report!K117,2)</f>
        <v>3.4</v>
      </c>
      <c r="L29" s="523">
        <f>ROUND(Report!L117,2)</f>
        <v>-0.7</v>
      </c>
      <c r="M29" s="625" t="s">
        <v>380</v>
      </c>
    </row>
    <row r="30" spans="1:13" ht="31.95" customHeight="1" thickBot="1" x14ac:dyDescent="0.3">
      <c r="A30" s="615" t="s">
        <v>8</v>
      </c>
      <c r="B30" s="498" t="s">
        <v>7</v>
      </c>
      <c r="C30" s="498" t="s">
        <v>425</v>
      </c>
      <c r="D30" s="498" t="s">
        <v>414</v>
      </c>
      <c r="E30" s="499" t="s">
        <v>351</v>
      </c>
      <c r="F30" s="499" t="s">
        <v>22</v>
      </c>
      <c r="G30" s="500">
        <v>42185</v>
      </c>
      <c r="H30" s="499" t="s">
        <v>139</v>
      </c>
      <c r="I30" s="501">
        <v>2.19</v>
      </c>
      <c r="J30" s="501">
        <v>2.19</v>
      </c>
      <c r="K30" s="502">
        <v>2.19</v>
      </c>
      <c r="L30" s="502">
        <v>0.01</v>
      </c>
      <c r="M30" s="608"/>
    </row>
    <row r="31" spans="1:13" ht="18.600000000000001" thickBot="1" x14ac:dyDescent="0.4">
      <c r="A31" s="614"/>
      <c r="B31" s="517" t="s">
        <v>355</v>
      </c>
      <c r="C31" s="527"/>
      <c r="D31" s="519"/>
      <c r="E31" s="520"/>
      <c r="F31" s="521"/>
      <c r="G31" s="521"/>
      <c r="H31" s="522"/>
      <c r="I31" s="523">
        <f>SUM(I30)</f>
        <v>2.19</v>
      </c>
      <c r="J31" s="523">
        <f>SUM(J30)</f>
        <v>2.19</v>
      </c>
      <c r="K31" s="523">
        <f>SUM(K30)</f>
        <v>2.19</v>
      </c>
      <c r="L31" s="523">
        <f>SUM(L30)</f>
        <v>0.01</v>
      </c>
      <c r="M31" s="617">
        <v>1</v>
      </c>
    </row>
    <row r="32" spans="1:13" ht="18.600000000000001" thickBot="1" x14ac:dyDescent="0.4">
      <c r="A32" s="616"/>
      <c r="B32" s="589" t="s">
        <v>214</v>
      </c>
      <c r="C32" s="618"/>
      <c r="D32" s="619"/>
      <c r="E32" s="620"/>
      <c r="F32" s="621"/>
      <c r="G32" s="621"/>
      <c r="H32" s="622"/>
      <c r="I32" s="594">
        <f>+I24+I31</f>
        <v>3.11</v>
      </c>
      <c r="J32" s="594">
        <f>+J24+J31</f>
        <v>2.19</v>
      </c>
      <c r="K32" s="594">
        <f>+K24+K31</f>
        <v>2.19</v>
      </c>
      <c r="L32" s="594">
        <f>+L24+L31</f>
        <v>0.01</v>
      </c>
      <c r="M32" s="623"/>
    </row>
    <row r="33" spans="1:13" ht="21" thickBot="1" x14ac:dyDescent="0.4">
      <c r="A33" s="624" t="s">
        <v>409</v>
      </c>
      <c r="B33" s="518"/>
      <c r="C33" s="527"/>
      <c r="D33" s="519"/>
      <c r="E33" s="520"/>
      <c r="F33" s="521"/>
      <c r="G33" s="521"/>
      <c r="H33" s="522"/>
      <c r="I33" s="523">
        <f>I31+I19+I24+I29</f>
        <v>44.150000000000006</v>
      </c>
      <c r="J33" s="523">
        <f>J31+J19+J24+J29</f>
        <v>22.130000000000003</v>
      </c>
      <c r="K33" s="523">
        <f>K31+K19+K24+K29</f>
        <v>23.89</v>
      </c>
      <c r="L33" s="523">
        <f>L31+L19+L24+L29</f>
        <v>-1.75</v>
      </c>
      <c r="M33" s="526">
        <f>M31+M19+M24</f>
        <v>46</v>
      </c>
    </row>
    <row r="34" spans="1:13" ht="23.25" hidden="1" customHeight="1" thickBot="1" x14ac:dyDescent="0.3">
      <c r="A34" s="877" t="s">
        <v>343</v>
      </c>
      <c r="B34" s="878"/>
      <c r="C34" s="878"/>
      <c r="D34" s="878"/>
      <c r="E34" s="878"/>
      <c r="F34" s="878"/>
      <c r="G34" s="878"/>
      <c r="H34" s="878"/>
      <c r="I34" s="878"/>
      <c r="J34" s="878"/>
      <c r="K34" s="878"/>
      <c r="L34" s="878"/>
      <c r="M34" s="879"/>
    </row>
    <row r="35" spans="1:13" ht="31.95" hidden="1" customHeight="1" thickBot="1" x14ac:dyDescent="0.3">
      <c r="A35" s="511" t="s">
        <v>84</v>
      </c>
      <c r="B35" s="498" t="s">
        <v>9</v>
      </c>
      <c r="C35" s="510" t="s">
        <v>183</v>
      </c>
      <c r="D35" s="498" t="s">
        <v>142</v>
      </c>
      <c r="E35" s="499" t="s">
        <v>336</v>
      </c>
      <c r="F35" s="499" t="s">
        <v>22</v>
      </c>
      <c r="G35" s="500">
        <v>41449</v>
      </c>
      <c r="H35" s="499" t="s">
        <v>172</v>
      </c>
      <c r="I35" s="506">
        <f>ROUND(Report!I126,2)</f>
        <v>7.0000000000000007E-2</v>
      </c>
      <c r="J35" s="506">
        <f>ROUND(Report!J126,2)</f>
        <v>7.0000000000000007E-2</v>
      </c>
      <c r="K35" s="501">
        <f>ROUND(Report!K126,2)</f>
        <v>7.0000000000000007E-2</v>
      </c>
      <c r="L35" s="501"/>
      <c r="M35" s="515"/>
    </row>
    <row r="36" spans="1:13" ht="19.5" hidden="1" customHeight="1" thickBot="1" x14ac:dyDescent="0.4">
      <c r="A36" s="517" t="s">
        <v>342</v>
      </c>
      <c r="B36" s="518"/>
      <c r="C36" s="527"/>
      <c r="D36" s="519"/>
      <c r="E36" s="520" t="s">
        <v>338</v>
      </c>
      <c r="F36" s="521"/>
      <c r="G36" s="521"/>
      <c r="H36" s="522"/>
      <c r="I36" s="523">
        <f>I35</f>
        <v>7.0000000000000007E-2</v>
      </c>
      <c r="J36" s="523">
        <f t="shared" ref="J36:K36" si="2">J35</f>
        <v>7.0000000000000007E-2</v>
      </c>
      <c r="K36" s="523">
        <f t="shared" si="2"/>
        <v>7.0000000000000007E-2</v>
      </c>
      <c r="L36" s="523"/>
      <c r="M36" s="526"/>
    </row>
    <row r="37" spans="1:13" ht="13.8" thickBot="1" x14ac:dyDescent="0.3"/>
    <row r="38" spans="1:13" s="557" customFormat="1" ht="21" thickBot="1" x14ac:dyDescent="0.4">
      <c r="A38" s="626" t="s">
        <v>424</v>
      </c>
      <c r="B38" s="590"/>
      <c r="C38" s="618"/>
      <c r="D38" s="619"/>
      <c r="E38" s="620"/>
      <c r="F38" s="621"/>
      <c r="G38" s="621"/>
      <c r="H38" s="622"/>
      <c r="I38" s="594">
        <f>+I11+I33</f>
        <v>282.95</v>
      </c>
      <c r="J38" s="594">
        <f t="shared" ref="J38:L38" si="3">+J11+J33</f>
        <v>215.25</v>
      </c>
      <c r="K38" s="594"/>
      <c r="L38" s="594">
        <f t="shared" si="3"/>
        <v>22.4</v>
      </c>
      <c r="M38" s="627"/>
    </row>
    <row r="39" spans="1:13" s="557" customFormat="1" x14ac:dyDescent="0.25">
      <c r="A39" s="558"/>
      <c r="B39" s="558"/>
      <c r="C39" s="558"/>
      <c r="D39" s="558"/>
      <c r="E39" s="558"/>
      <c r="F39" s="558"/>
      <c r="G39" s="558"/>
      <c r="H39" s="558"/>
      <c r="I39" s="558"/>
      <c r="J39" s="558"/>
      <c r="K39" s="558"/>
      <c r="L39" s="558"/>
      <c r="M39" s="558"/>
    </row>
    <row r="41" spans="1:13" ht="15.6" x14ac:dyDescent="0.25">
      <c r="A41" s="607" t="s">
        <v>413</v>
      </c>
    </row>
    <row r="42" spans="1:13" ht="15.6" x14ac:dyDescent="0.25">
      <c r="A42" s="607" t="s">
        <v>417</v>
      </c>
    </row>
    <row r="43" spans="1:13" ht="15.6" x14ac:dyDescent="0.25">
      <c r="A43" s="607" t="s">
        <v>418</v>
      </c>
    </row>
  </sheetData>
  <mergeCells count="5">
    <mergeCell ref="A4:M4"/>
    <mergeCell ref="A13:M13"/>
    <mergeCell ref="A34:M34"/>
    <mergeCell ref="A2:M2"/>
    <mergeCell ref="A11:H11"/>
  </mergeCells>
  <printOptions horizontalCentered="1"/>
  <pageMargins left="0.25" right="0.25" top="0.5" bottom="0.5" header="0.25" footer="0.3"/>
  <pageSetup scale="67" orientation="landscape" r:id="rId1"/>
  <headerFooter>
    <oddHeader>&amp;L&amp;"Times New Roman,Bold"&amp;16University of Illinois&amp;C&amp;"Times New Roman,Bold"&amp;20Hedging Position Report&amp;R&amp;"Times New Roman,Regular"&amp;16As of May 31, 2014</oddHeader>
    <oddFooter>&amp;C&amp;"Times New Roman,Regular"&amp;14Page 3 of 3</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00FF"/>
  </sheetPr>
  <dimension ref="A4:G54"/>
  <sheetViews>
    <sheetView showGridLines="0" topLeftCell="A19" zoomScaleNormal="100" zoomScaleSheetLayoutView="120" workbookViewId="0">
      <selection activeCell="C53" sqref="C53"/>
    </sheetView>
  </sheetViews>
  <sheetFormatPr defaultColWidth="9.109375" defaultRowHeight="13.2" x14ac:dyDescent="0.25"/>
  <cols>
    <col min="1" max="1" width="3.44140625" style="557" customWidth="1"/>
    <col min="2" max="2" width="9.109375" style="557"/>
    <col min="3" max="3" width="29" style="557" customWidth="1"/>
    <col min="4" max="4" width="18.44140625" style="557" customWidth="1"/>
    <col min="5" max="5" width="23.77734375" style="557" customWidth="1"/>
    <col min="6" max="6" width="27.109375" style="557" customWidth="1"/>
    <col min="7" max="7" width="6" style="557" customWidth="1"/>
    <col min="8" max="16384" width="9.109375" style="557"/>
  </cols>
  <sheetData>
    <row r="4" spans="1:7" ht="18" x14ac:dyDescent="0.25">
      <c r="A4" s="567" t="s">
        <v>392</v>
      </c>
      <c r="B4" s="577"/>
      <c r="C4" s="577"/>
      <c r="D4" s="560"/>
      <c r="E4" s="560"/>
      <c r="F4" s="560"/>
      <c r="G4" s="561"/>
    </row>
    <row r="5" spans="1:7" ht="17.399999999999999" x14ac:dyDescent="0.25">
      <c r="A5" s="568" t="s">
        <v>391</v>
      </c>
      <c r="B5" s="577"/>
      <c r="C5" s="568"/>
      <c r="D5" s="560"/>
      <c r="E5" s="560"/>
      <c r="F5" s="560"/>
      <c r="G5" s="561"/>
    </row>
    <row r="6" spans="1:7" x14ac:dyDescent="0.25">
      <c r="C6" s="558"/>
      <c r="D6" s="558"/>
      <c r="E6" s="558"/>
      <c r="F6" s="558"/>
      <c r="G6" s="558"/>
    </row>
    <row r="7" spans="1:7" ht="13.8" x14ac:dyDescent="0.25">
      <c r="C7" s="564" t="s">
        <v>356</v>
      </c>
      <c r="D7" s="558"/>
      <c r="E7" s="558"/>
      <c r="F7" s="558"/>
      <c r="G7" s="558"/>
    </row>
    <row r="8" spans="1:7" x14ac:dyDescent="0.25">
      <c r="C8" s="558" t="s">
        <v>357</v>
      </c>
      <c r="D8" s="558"/>
      <c r="E8" s="558"/>
      <c r="F8" s="558"/>
      <c r="G8" s="558"/>
    </row>
    <row r="9" spans="1:7" x14ac:dyDescent="0.25">
      <c r="C9" s="558"/>
      <c r="D9" s="558"/>
      <c r="E9" s="558"/>
      <c r="F9" s="558"/>
      <c r="G9" s="558"/>
    </row>
    <row r="10" spans="1:7" ht="13.8" x14ac:dyDescent="0.25">
      <c r="C10" s="564" t="s">
        <v>358</v>
      </c>
      <c r="D10" s="558"/>
      <c r="E10" s="558"/>
      <c r="F10" s="558"/>
      <c r="G10" s="558"/>
    </row>
    <row r="11" spans="1:7" x14ac:dyDescent="0.25">
      <c r="C11" s="558" t="s">
        <v>403</v>
      </c>
      <c r="D11" s="558"/>
      <c r="E11" s="558"/>
      <c r="F11" s="558"/>
      <c r="G11" s="558"/>
    </row>
    <row r="12" spans="1:7" x14ac:dyDescent="0.25">
      <c r="C12" s="558" t="s">
        <v>404</v>
      </c>
      <c r="D12" s="558"/>
      <c r="E12" s="558"/>
      <c r="F12" s="558"/>
      <c r="G12" s="558"/>
    </row>
    <row r="13" spans="1:7" x14ac:dyDescent="0.25">
      <c r="C13" s="558"/>
      <c r="D13" s="558"/>
      <c r="E13" s="558"/>
      <c r="F13" s="558"/>
      <c r="G13" s="558"/>
    </row>
    <row r="14" spans="1:7" ht="13.8" x14ac:dyDescent="0.25">
      <c r="C14" s="564" t="s">
        <v>359</v>
      </c>
      <c r="D14" s="558"/>
      <c r="E14" s="558"/>
      <c r="F14" s="558"/>
      <c r="G14" s="558"/>
    </row>
    <row r="15" spans="1:7" x14ac:dyDescent="0.25">
      <c r="C15" s="558" t="s">
        <v>393</v>
      </c>
      <c r="D15" s="558"/>
      <c r="E15" s="558"/>
      <c r="F15" s="558"/>
      <c r="G15" s="558"/>
    </row>
    <row r="16" spans="1:7" x14ac:dyDescent="0.25">
      <c r="C16" s="558" t="s">
        <v>394</v>
      </c>
      <c r="D16" s="558"/>
      <c r="E16" s="558"/>
      <c r="F16" s="558"/>
      <c r="G16" s="558"/>
    </row>
    <row r="17" spans="3:7" x14ac:dyDescent="0.25">
      <c r="C17" s="558" t="s">
        <v>395</v>
      </c>
      <c r="D17" s="558"/>
      <c r="E17" s="558"/>
      <c r="F17" s="558"/>
      <c r="G17" s="558"/>
    </row>
    <row r="18" spans="3:7" x14ac:dyDescent="0.25">
      <c r="C18" s="558"/>
      <c r="D18" s="558"/>
      <c r="E18" s="558"/>
      <c r="F18" s="558"/>
      <c r="G18" s="558"/>
    </row>
    <row r="19" spans="3:7" ht="13.8" x14ac:dyDescent="0.25">
      <c r="C19" s="564" t="s">
        <v>360</v>
      </c>
      <c r="D19" s="558"/>
      <c r="E19" s="558"/>
      <c r="F19" s="558"/>
      <c r="G19" s="558"/>
    </row>
    <row r="20" spans="3:7" x14ac:dyDescent="0.25">
      <c r="C20" s="558" t="s">
        <v>400</v>
      </c>
      <c r="D20" s="558"/>
      <c r="E20" s="558"/>
      <c r="F20" s="558"/>
      <c r="G20" s="558"/>
    </row>
    <row r="21" spans="3:7" x14ac:dyDescent="0.25">
      <c r="C21" s="558" t="s">
        <v>401</v>
      </c>
      <c r="D21" s="558"/>
      <c r="E21" s="558"/>
      <c r="F21" s="558"/>
      <c r="G21" s="558"/>
    </row>
    <row r="22" spans="3:7" x14ac:dyDescent="0.25">
      <c r="C22" s="558" t="s">
        <v>402</v>
      </c>
      <c r="D22" s="558"/>
      <c r="E22" s="558"/>
      <c r="F22" s="558"/>
      <c r="G22" s="558"/>
    </row>
    <row r="23" spans="3:7" ht="15.6" x14ac:dyDescent="0.3">
      <c r="C23" s="559"/>
      <c r="D23" s="558"/>
      <c r="E23" s="558"/>
      <c r="F23" s="558"/>
      <c r="G23" s="558"/>
    </row>
    <row r="24" spans="3:7" ht="13.8" x14ac:dyDescent="0.25">
      <c r="C24" s="565" t="s">
        <v>361</v>
      </c>
      <c r="D24" s="558"/>
      <c r="E24" s="558"/>
      <c r="F24" s="558"/>
      <c r="G24" s="558"/>
    </row>
    <row r="25" spans="3:7" x14ac:dyDescent="0.25">
      <c r="C25" s="558" t="s">
        <v>407</v>
      </c>
      <c r="D25" s="558"/>
      <c r="E25" s="558"/>
      <c r="F25" s="558"/>
      <c r="G25" s="558"/>
    </row>
    <row r="26" spans="3:7" x14ac:dyDescent="0.25">
      <c r="C26" s="558" t="s">
        <v>405</v>
      </c>
      <c r="D26" s="558"/>
      <c r="E26" s="558"/>
      <c r="F26" s="558"/>
      <c r="G26" s="558"/>
    </row>
    <row r="27" spans="3:7" x14ac:dyDescent="0.25">
      <c r="C27" s="558" t="s">
        <v>406</v>
      </c>
      <c r="D27" s="558"/>
      <c r="E27" s="558"/>
      <c r="F27" s="558"/>
      <c r="G27" s="558"/>
    </row>
    <row r="28" spans="3:7" x14ac:dyDescent="0.25">
      <c r="C28" s="558"/>
      <c r="D28" s="558"/>
      <c r="E28" s="558"/>
      <c r="F28" s="558"/>
      <c r="G28" s="558"/>
    </row>
    <row r="29" spans="3:7" ht="13.8" x14ac:dyDescent="0.25">
      <c r="C29" s="566" t="s">
        <v>362</v>
      </c>
      <c r="D29" s="558"/>
      <c r="E29" s="558"/>
      <c r="F29" s="558"/>
      <c r="G29" s="558"/>
    </row>
    <row r="30" spans="3:7" x14ac:dyDescent="0.25">
      <c r="C30" s="558" t="s">
        <v>363</v>
      </c>
      <c r="D30" s="558"/>
      <c r="E30" s="558"/>
      <c r="F30" s="558"/>
      <c r="G30" s="558"/>
    </row>
    <row r="31" spans="3:7" x14ac:dyDescent="0.25">
      <c r="C31" s="558" t="s">
        <v>364</v>
      </c>
      <c r="D31" s="558"/>
      <c r="E31" s="558"/>
      <c r="F31" s="558"/>
      <c r="G31" s="558"/>
    </row>
    <row r="32" spans="3:7" x14ac:dyDescent="0.25">
      <c r="C32" s="558"/>
      <c r="D32" s="558"/>
      <c r="E32" s="558"/>
      <c r="F32" s="558"/>
      <c r="G32" s="558"/>
    </row>
    <row r="33" spans="3:7" ht="25.5" customHeight="1" x14ac:dyDescent="0.25">
      <c r="C33" s="884" t="s">
        <v>365</v>
      </c>
      <c r="D33" s="884"/>
      <c r="E33" s="884" t="s">
        <v>399</v>
      </c>
      <c r="F33" s="884"/>
    </row>
    <row r="34" spans="3:7" x14ac:dyDescent="0.25">
      <c r="C34" s="884"/>
      <c r="D34" s="884"/>
      <c r="E34" s="884"/>
      <c r="F34" s="884"/>
    </row>
    <row r="35" spans="3:7" x14ac:dyDescent="0.25">
      <c r="C35" s="883" t="s">
        <v>366</v>
      </c>
      <c r="D35" s="883"/>
      <c r="E35" s="885" t="s">
        <v>367</v>
      </c>
      <c r="F35" s="885"/>
    </row>
    <row r="36" spans="3:7" x14ac:dyDescent="0.25">
      <c r="C36" s="887" t="s">
        <v>368</v>
      </c>
      <c r="D36" s="887"/>
      <c r="E36" s="886" t="s">
        <v>369</v>
      </c>
      <c r="F36" s="886"/>
    </row>
    <row r="37" spans="3:7" x14ac:dyDescent="0.25">
      <c r="C37" s="883" t="s">
        <v>370</v>
      </c>
      <c r="D37" s="883"/>
      <c r="E37" s="885" t="s">
        <v>371</v>
      </c>
      <c r="F37" s="885"/>
    </row>
    <row r="38" spans="3:7" x14ac:dyDescent="0.25">
      <c r="C38" s="887" t="s">
        <v>372</v>
      </c>
      <c r="D38" s="887"/>
      <c r="E38" s="886" t="s">
        <v>373</v>
      </c>
      <c r="F38" s="886"/>
    </row>
    <row r="39" spans="3:7" x14ac:dyDescent="0.25">
      <c r="C39" s="883" t="s">
        <v>374</v>
      </c>
      <c r="D39" s="883"/>
      <c r="E39" s="885" t="s">
        <v>397</v>
      </c>
      <c r="F39" s="885"/>
    </row>
    <row r="40" spans="3:7" x14ac:dyDescent="0.25">
      <c r="C40" s="558"/>
      <c r="D40" s="558"/>
      <c r="E40" s="558"/>
      <c r="F40" s="558"/>
      <c r="G40" s="558"/>
    </row>
    <row r="41" spans="3:7" x14ac:dyDescent="0.25">
      <c r="C41" s="558"/>
      <c r="D41" s="558"/>
      <c r="E41" s="558"/>
      <c r="F41" s="558"/>
      <c r="G41" s="558"/>
    </row>
    <row r="42" spans="3:7" ht="40.5" customHeight="1" x14ac:dyDescent="0.25">
      <c r="C42" s="562" t="s">
        <v>0</v>
      </c>
      <c r="D42" s="563" t="s">
        <v>375</v>
      </c>
      <c r="E42" s="563" t="s">
        <v>376</v>
      </c>
      <c r="F42" s="562" t="s">
        <v>377</v>
      </c>
      <c r="G42" s="558"/>
    </row>
    <row r="43" spans="3:7" x14ac:dyDescent="0.25">
      <c r="C43" s="569" t="s">
        <v>378</v>
      </c>
      <c r="D43" s="570">
        <v>0</v>
      </c>
      <c r="E43" s="571">
        <v>10</v>
      </c>
      <c r="F43" s="572" t="s">
        <v>379</v>
      </c>
      <c r="G43" s="558"/>
    </row>
    <row r="44" spans="3:7" x14ac:dyDescent="0.25">
      <c r="C44" s="569" t="s">
        <v>92</v>
      </c>
      <c r="D44" s="570">
        <v>0</v>
      </c>
      <c r="E44" s="572" t="s">
        <v>380</v>
      </c>
      <c r="F44" s="572" t="s">
        <v>381</v>
      </c>
      <c r="G44" s="558"/>
    </row>
    <row r="45" spans="3:7" x14ac:dyDescent="0.25">
      <c r="C45" s="569" t="s">
        <v>382</v>
      </c>
      <c r="D45" s="570">
        <v>3.01</v>
      </c>
      <c r="E45" s="572" t="s">
        <v>383</v>
      </c>
      <c r="F45" s="572" t="s">
        <v>384</v>
      </c>
      <c r="G45" s="558"/>
    </row>
    <row r="46" spans="3:7" x14ac:dyDescent="0.25">
      <c r="C46" s="569" t="s">
        <v>11</v>
      </c>
      <c r="D46" s="570">
        <v>4.5</v>
      </c>
      <c r="E46" s="572" t="s">
        <v>383</v>
      </c>
      <c r="F46" s="572" t="s">
        <v>385</v>
      </c>
      <c r="G46" s="558"/>
    </row>
    <row r="47" spans="3:7" x14ac:dyDescent="0.25">
      <c r="C47" s="569" t="s">
        <v>386</v>
      </c>
      <c r="D47" s="572"/>
      <c r="E47" s="572"/>
      <c r="F47" s="572"/>
      <c r="G47" s="558"/>
    </row>
    <row r="48" spans="3:7" x14ac:dyDescent="0.25">
      <c r="C48" s="569" t="s">
        <v>1</v>
      </c>
      <c r="D48" s="570">
        <v>15.6</v>
      </c>
      <c r="E48" s="572" t="s">
        <v>383</v>
      </c>
      <c r="F48" s="572" t="s">
        <v>387</v>
      </c>
      <c r="G48" s="558"/>
    </row>
    <row r="49" spans="3:7" x14ac:dyDescent="0.25">
      <c r="C49" s="569" t="s">
        <v>238</v>
      </c>
      <c r="D49" s="573">
        <v>-1.06</v>
      </c>
      <c r="E49" s="571">
        <v>35</v>
      </c>
      <c r="F49" s="572" t="s">
        <v>388</v>
      </c>
      <c r="G49" s="558"/>
    </row>
    <row r="50" spans="3:7" x14ac:dyDescent="0.25">
      <c r="C50" s="569" t="s">
        <v>389</v>
      </c>
      <c r="D50" s="569"/>
      <c r="E50" s="569"/>
      <c r="F50" s="569"/>
      <c r="G50" s="558"/>
    </row>
    <row r="51" spans="3:7" x14ac:dyDescent="0.25">
      <c r="C51" s="569" t="s">
        <v>396</v>
      </c>
      <c r="D51" s="573">
        <v>0.01</v>
      </c>
      <c r="E51" s="569"/>
      <c r="F51" s="572" t="s">
        <v>385</v>
      </c>
      <c r="G51" s="558"/>
    </row>
    <row r="52" spans="3:7" x14ac:dyDescent="0.25">
      <c r="C52" s="574"/>
      <c r="D52" s="575"/>
      <c r="E52" s="574"/>
      <c r="F52" s="576"/>
      <c r="G52" s="558"/>
    </row>
    <row r="53" spans="3:7" x14ac:dyDescent="0.25">
      <c r="C53" s="558" t="s">
        <v>390</v>
      </c>
    </row>
    <row r="54" spans="3:7" x14ac:dyDescent="0.25">
      <c r="C54" s="558" t="s">
        <v>398</v>
      </c>
    </row>
  </sheetData>
  <mergeCells count="12">
    <mergeCell ref="C39:D39"/>
    <mergeCell ref="E33:F34"/>
    <mergeCell ref="E35:F35"/>
    <mergeCell ref="E36:F36"/>
    <mergeCell ref="E37:F37"/>
    <mergeCell ref="E38:F38"/>
    <mergeCell ref="E39:F39"/>
    <mergeCell ref="C33:D34"/>
    <mergeCell ref="C35:D35"/>
    <mergeCell ref="C36:D36"/>
    <mergeCell ref="C37:D37"/>
    <mergeCell ref="C38:D38"/>
  </mergeCells>
  <pageMargins left="0.7" right="0.7" top="0.75" bottom="0.75" header="0.3" footer="0.3"/>
  <pageSetup scale="75" orientation="portrait" r:id="rId1"/>
  <headerFooter>
    <oddFooter>&amp;LPrepared by Enterprise Risk Management-June 24, 2014</oddFooter>
  </headerFooter>
  <rowBreaks count="1" manualBreakCount="1">
    <brk id="54" min="2" max="5" man="1"/>
  </rowBreaks>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tabColor rgb="FF0000FF"/>
    <pageSetUpPr fitToPage="1"/>
  </sheetPr>
  <dimension ref="A1:FA149"/>
  <sheetViews>
    <sheetView zoomScale="90" zoomScaleNormal="90" workbookViewId="0">
      <pane xSplit="2" ySplit="4" topLeftCell="C5" activePane="bottomRight" state="frozen"/>
      <selection activeCell="DD94" sqref="DD94"/>
      <selection pane="topRight" activeCell="DD94" sqref="DD94"/>
      <selection pane="bottomLeft" activeCell="DD94" sqref="DD94"/>
      <selection pane="bottomRight" activeCell="G20" sqref="G20"/>
    </sheetView>
  </sheetViews>
  <sheetFormatPr defaultColWidth="8.77734375" defaultRowHeight="13.2" x14ac:dyDescent="0.25"/>
  <cols>
    <col min="1" max="1" width="14.109375" customWidth="1"/>
    <col min="2" max="2" width="34.44140625" bestFit="1" customWidth="1"/>
    <col min="3" max="3" width="15.44140625" customWidth="1"/>
    <col min="4" max="5" width="15.33203125" customWidth="1"/>
    <col min="6" max="6" width="15.44140625" customWidth="1"/>
    <col min="7" max="7" width="16.44140625" customWidth="1"/>
    <col min="8" max="10" width="13.6640625" customWidth="1"/>
    <col min="11" max="11" width="14.6640625" customWidth="1"/>
    <col min="12" max="14" width="13.6640625" customWidth="1"/>
    <col min="15" max="17" width="14.109375" customWidth="1"/>
    <col min="18" max="18" width="14.44140625" customWidth="1"/>
    <col min="19" max="26" width="14.109375" customWidth="1"/>
    <col min="27" max="27" width="11.44140625" customWidth="1"/>
    <col min="28" max="28" width="11" customWidth="1"/>
    <col min="29" max="32" width="10.44140625" bestFit="1" customWidth="1"/>
    <col min="41" max="42" width="0" hidden="1" customWidth="1"/>
    <col min="135" max="136" width="10.44140625" bestFit="1" customWidth="1"/>
    <col min="157" max="157" width="11.44140625" customWidth="1"/>
  </cols>
  <sheetData>
    <row r="1" spans="2:43" ht="39.75" customHeight="1" x14ac:dyDescent="0.25">
      <c r="B1" s="245" t="s">
        <v>236</v>
      </c>
    </row>
    <row r="2" spans="2:43" ht="12.75" customHeight="1" x14ac:dyDescent="0.25">
      <c r="B2" s="888" t="s">
        <v>141</v>
      </c>
      <c r="C2" s="888"/>
      <c r="D2" s="888"/>
      <c r="E2" s="888"/>
      <c r="F2" s="888"/>
      <c r="G2" s="888"/>
      <c r="H2" s="888"/>
      <c r="I2" s="888"/>
      <c r="J2" s="888"/>
      <c r="K2" s="888"/>
      <c r="L2" s="888"/>
      <c r="M2" s="888"/>
      <c r="N2" s="888"/>
    </row>
    <row r="3" spans="2:43" s="345" customFormat="1" x14ac:dyDescent="0.25">
      <c r="B3" s="343" t="s">
        <v>0</v>
      </c>
      <c r="C3" s="344">
        <f>D3-IF(TRUE=OR(2=MONTH(D3),4=MONTH(D3),6=MONTH(D3),8=MONTH(D3),9=MONTH(D3),11=MONTH(D3),1=MONTH(D3)),31,IF(TRUE=OR(5=MONTH(D3),7=MONTH(D3),10=MONTH(D3),12=MONTH(D3)),30,IF(MOD(YEAR(D3),4)=0,29,28)))</f>
        <v>40603</v>
      </c>
      <c r="D3" s="344">
        <f>E3-IF(TRUE=OR(2=MONTH(E3),4=MONTH(E3),6=MONTH(E3),8=MONTH(E3),9=MONTH(E3),11=MONTH(E3),1=MONTH(E3)),31,IF(TRUE=OR(5=MONTH(E3),7=MONTH(E3),10=MONTH(E3),12=MONTH(E3)),30,IF(MOD(YEAR(E3),4)=0,29,28)))</f>
        <v>40634</v>
      </c>
      <c r="E3" s="344">
        <f>F3-IF(TRUE=OR(2=MONTH(F3),4=MONTH(F3),6=MONTH(F3),8=MONTH(F3),9=MONTH(F3),11=MONTH(F3),1=MONTH(F3)),31,IF(TRUE=OR(5=MONTH(F3),7=MONTH(F3),10=MONTH(F3),12=MONTH(F3)),30,IF(MOD(YEAR(F3),4)=0,29,28)))</f>
        <v>40664</v>
      </c>
      <c r="F3" s="344">
        <v>40695</v>
      </c>
      <c r="G3" s="344">
        <v>40725</v>
      </c>
      <c r="H3" s="344">
        <v>40756</v>
      </c>
      <c r="I3" s="344">
        <v>40787</v>
      </c>
      <c r="J3" s="344">
        <v>40817</v>
      </c>
      <c r="K3" s="344">
        <v>40848</v>
      </c>
      <c r="L3" s="344">
        <v>40878</v>
      </c>
      <c r="M3" s="344">
        <v>40909</v>
      </c>
      <c r="N3" s="344">
        <v>40940</v>
      </c>
      <c r="O3" s="344">
        <v>40969</v>
      </c>
      <c r="P3" s="344">
        <v>41000</v>
      </c>
      <c r="Q3" s="344">
        <v>41030</v>
      </c>
      <c r="R3" s="344">
        <v>41072</v>
      </c>
      <c r="S3" s="344">
        <v>41102</v>
      </c>
      <c r="T3" s="344">
        <v>41133</v>
      </c>
      <c r="U3" s="344">
        <v>41164</v>
      </c>
      <c r="V3" s="344">
        <v>41194</v>
      </c>
      <c r="W3" s="344">
        <v>41225</v>
      </c>
      <c r="X3" s="344">
        <v>41255</v>
      </c>
      <c r="Y3" s="344">
        <v>41287</v>
      </c>
      <c r="Z3" s="344">
        <v>41318</v>
      </c>
      <c r="AA3" s="344">
        <v>41346</v>
      </c>
      <c r="AB3" s="344">
        <v>41377</v>
      </c>
      <c r="AC3" s="344">
        <v>41407</v>
      </c>
      <c r="AD3" s="344">
        <v>41438</v>
      </c>
      <c r="AE3" s="344">
        <v>41468</v>
      </c>
      <c r="AF3" s="344">
        <v>41499</v>
      </c>
      <c r="AG3" s="345">
        <v>41530</v>
      </c>
      <c r="AH3" s="345">
        <v>41560</v>
      </c>
      <c r="AI3" s="345">
        <v>41591</v>
      </c>
      <c r="AJ3" s="345">
        <v>41621</v>
      </c>
      <c r="AK3" s="345">
        <v>41653</v>
      </c>
      <c r="AL3" s="345">
        <v>41684</v>
      </c>
      <c r="AM3" s="345">
        <v>41712</v>
      </c>
      <c r="AN3" s="345">
        <v>41743</v>
      </c>
      <c r="AO3" s="345">
        <v>41773</v>
      </c>
      <c r="AP3" s="345">
        <v>41773</v>
      </c>
      <c r="AQ3" s="345">
        <v>41773</v>
      </c>
    </row>
    <row r="4" spans="2:43" x14ac:dyDescent="0.25">
      <c r="C4" s="214" t="s">
        <v>209</v>
      </c>
      <c r="D4" s="214" t="s">
        <v>209</v>
      </c>
      <c r="E4" s="214" t="s">
        <v>209</v>
      </c>
      <c r="F4" s="214" t="s">
        <v>49</v>
      </c>
      <c r="G4" s="214" t="s">
        <v>49</v>
      </c>
      <c r="H4" s="214" t="s">
        <v>49</v>
      </c>
      <c r="I4" s="214" t="s">
        <v>49</v>
      </c>
      <c r="J4" s="214" t="s">
        <v>49</v>
      </c>
      <c r="K4" s="214" t="s">
        <v>49</v>
      </c>
      <c r="L4" s="214" t="s">
        <v>49</v>
      </c>
      <c r="M4" s="214" t="s">
        <v>49</v>
      </c>
      <c r="N4" s="214" t="s">
        <v>49</v>
      </c>
      <c r="O4" s="214" t="s">
        <v>49</v>
      </c>
      <c r="P4" s="214" t="s">
        <v>49</v>
      </c>
      <c r="Q4" s="214" t="s">
        <v>49</v>
      </c>
      <c r="R4" s="214" t="s">
        <v>49</v>
      </c>
      <c r="S4" s="214" t="s">
        <v>49</v>
      </c>
      <c r="T4" s="214" t="s">
        <v>49</v>
      </c>
      <c r="U4" s="214" t="s">
        <v>49</v>
      </c>
      <c r="V4" s="214" t="s">
        <v>49</v>
      </c>
      <c r="W4" s="214" t="s">
        <v>49</v>
      </c>
      <c r="X4" s="214" t="s">
        <v>49</v>
      </c>
      <c r="Y4" s="214" t="s">
        <v>49</v>
      </c>
      <c r="Z4" s="214" t="s">
        <v>49</v>
      </c>
      <c r="AA4" s="214" t="s">
        <v>49</v>
      </c>
      <c r="AB4" s="214" t="s">
        <v>49</v>
      </c>
      <c r="AC4" s="214" t="s">
        <v>49</v>
      </c>
      <c r="AD4" s="214" t="s">
        <v>49</v>
      </c>
      <c r="AE4" s="214" t="s">
        <v>49</v>
      </c>
      <c r="AF4" s="214" t="s">
        <v>49</v>
      </c>
      <c r="AG4" t="s">
        <v>49</v>
      </c>
      <c r="AH4" t="s">
        <v>49</v>
      </c>
      <c r="AI4" t="s">
        <v>49</v>
      </c>
      <c r="AJ4" t="s">
        <v>49</v>
      </c>
      <c r="AK4" t="s">
        <v>49</v>
      </c>
      <c r="AL4" t="s">
        <v>49</v>
      </c>
      <c r="AM4" t="s">
        <v>49</v>
      </c>
      <c r="AN4" t="s">
        <v>49</v>
      </c>
      <c r="AO4" t="s">
        <v>49</v>
      </c>
      <c r="AP4" t="s">
        <v>49</v>
      </c>
      <c r="AQ4" t="s">
        <v>49</v>
      </c>
    </row>
    <row r="5" spans="2:43" x14ac:dyDescent="0.25">
      <c r="B5" s="4" t="s">
        <v>27</v>
      </c>
      <c r="C5" s="213" t="s">
        <v>323</v>
      </c>
      <c r="D5" s="213">
        <v>6.17</v>
      </c>
      <c r="E5" s="213">
        <v>-1.0569550000000001</v>
      </c>
      <c r="F5" s="217">
        <f t="shared" ref="F5:Q5" ca="1" si="0">INDIRECT(ADDRESS(28,14,,,VLOOKUP(MONTH(F$3),$B$118:$C$129,2)&amp;RIGHT(YEAR(F$3),2)))</f>
        <v>-0.28201151999999979</v>
      </c>
      <c r="G5" s="217">
        <f t="shared" ca="1" si="0"/>
        <v>-0.44425344000000067</v>
      </c>
      <c r="H5" s="217">
        <f t="shared" ca="1" si="0"/>
        <v>-0.6486219000000002</v>
      </c>
      <c r="I5" s="217">
        <f t="shared" ca="1" si="0"/>
        <v>-0.32609537599999983</v>
      </c>
      <c r="J5" s="217">
        <f t="shared" ca="1" si="0"/>
        <v>-0.24150674399999997</v>
      </c>
      <c r="K5" s="217">
        <f t="shared" ca="1" si="0"/>
        <v>0.21</v>
      </c>
      <c r="L5" s="217">
        <f t="shared" ca="1" si="0"/>
        <v>0.76</v>
      </c>
      <c r="M5" s="217">
        <f t="shared" ca="1" si="0"/>
        <v>1.96</v>
      </c>
      <c r="N5" s="217">
        <f t="shared" ca="1" si="0"/>
        <v>1.69</v>
      </c>
      <c r="O5" s="217">
        <f t="shared" ca="1" si="0"/>
        <v>1.6</v>
      </c>
      <c r="P5" s="217">
        <f t="shared" ca="1" si="0"/>
        <v>1.2</v>
      </c>
      <c r="Q5" s="217">
        <f t="shared" ca="1" si="0"/>
        <v>1.23</v>
      </c>
      <c r="R5" s="217">
        <v>1.08</v>
      </c>
      <c r="S5" s="217">
        <v>0.73</v>
      </c>
      <c r="T5" s="217">
        <f>INDEX('Aug12'!$A$1:$AX$100,MATCH("ElectricTerminationTotals",'Aug12'!$A$1:$A$100,0),MATCH("Net Termination Exposure (Fav)/Unfav",'Aug12'!$A$4:$AX$4,0))</f>
        <v>1.0734038479999997</v>
      </c>
      <c r="U5" s="217">
        <f>INDEX('Sep12'!$A$1:$AX$100,MATCH("ElectricTerminationTotals",'Sep12'!$A$1:$A$100,0),MATCH("Net Termination Exposure (Fav)/Unfav",'Sep12'!$A$4:$AX$4,0))</f>
        <v>0.62767627399999981</v>
      </c>
      <c r="V5" s="217">
        <f>INDEX('Oct12'!$A$1:$AX$100,MATCH("ElectricTerminationTotals",'Oct12'!$A$1:$A$100,0),MATCH("Net Termination Exposure (Fav)/Unfav",'Oct12'!$A$4:$AX$4,0))</f>
        <v>0.49491963700000002</v>
      </c>
      <c r="W5" s="217">
        <f>INDEX('Nov12'!$A$1:$AX$100,MATCH("ElectricTerminationTotals",'Nov12'!$A$1:$A$100,0),MATCH("Net Termination Exposure (Fav)/Unfav",'Nov12'!$A$4:$AX$4,0))</f>
        <v>9.1277405999999478E-2</v>
      </c>
      <c r="X5" s="217">
        <f>INDEX('Dec12'!$A$1:$AX$100,MATCH("ElectricTerminationTotals",'Dec12'!$A$1:$A$100,0),MATCH("Net Termination Exposure (Fav)/Unfav",'Dec12'!$A$4:$AX$4,0))</f>
        <v>0.25514600999999981</v>
      </c>
      <c r="Y5" s="217">
        <f>INDEX('Jan13'!$A$1:$AX$100,MATCH("AEP_TerminationTotals",'Jan13'!$A$1:$A$100,0),MATCH("Net Termination Exposure (Fav)/Unfav",'Jan13'!$A$4:$AX$4,0))</f>
        <v>0.47790642999999999</v>
      </c>
      <c r="Z5" s="217">
        <f>INDEX('Feb13'!$A$1:$AX$100,MATCH("AEP_TerminationTotals",'Feb13'!$A$1:$A$100,0),MATCH("Net Termination Exposure (Fav)/Unfav",'Feb13'!$A$4:$AX$4,0))</f>
        <v>0.42630398299999989</v>
      </c>
      <c r="AA5" s="217">
        <f>INDEX('Mar13'!$A$1:$AX$100,MATCH("AEP_TerminationTotals",'Mar13'!$A$1:$A$100,0),MATCH("Net Termination Exposure (Fav)/Unfav",'Mar13'!$A$4:$AX$4,0))</f>
        <v>0.24697039999999992</v>
      </c>
      <c r="AB5" s="217">
        <f>INDEX('Apr13'!$A$1:$AX$100,MATCH("AEP_TerminationTotals",'Apr13'!$A$1:$A$100,0),MATCH("Net Termination Exposure (Fav)/Unfav",'Apr13'!$A$4:$AX$4,0))</f>
        <v>5.833191999999994E-2</v>
      </c>
      <c r="AC5" s="217">
        <f>INDEX('May13'!$A$1:$AX$100,MATCH("AEP_TerminationTotals",'May13'!$A$1:$A$100,0),MATCH("Net Termination Exposure (Fav)/Unfav",'May13'!$A$4:$AX$4,0))</f>
        <v>7.9369820000000008E-2</v>
      </c>
      <c r="AD5" s="217">
        <f>INDEX('Jun13'!$A$1:$AX$100,MATCH("AEP_TerminationTotals",'Jun13'!$A$1:$A$100,0),MATCH("Net Termination Exposure (Fav)/Unfav",'Jun13'!$A$4:$AX$4,0))</f>
        <v>0.154416796</v>
      </c>
      <c r="AE5" s="217">
        <f>INDEX('Jul13'!$A$1:$AX$100,MATCH("AEP_TerminationTotals",'Jul13'!$A$1:$A$100,0),MATCH("Net Termination Exposure (Fav)/Unfav",'Jul13'!$A$4:$AX$4,0))</f>
        <v>0.19509936</v>
      </c>
      <c r="AF5" s="217">
        <f>INDEX('Aug13'!$A$1:$AX$100,MATCH("AEP_TerminationTotals",'Aug13'!$A$1:$A$100,0),MATCH("Net Termination Exposure (Fav)/Unfav",'Aug13'!$A$4:$AX$4,0))</f>
        <v>0.10947640000000003</v>
      </c>
      <c r="AG5">
        <f>INDEX('Sep13'!$A$1:$AX$100,MATCH("AEP_TerminationTotals",'Sep13'!$A$1:$A$100,0),MATCH("Net Termination Exposure (Fav)/Unfav",'Sep13'!$A$4:$AX$4,0))</f>
        <v>-1.7952399999999875E-4</v>
      </c>
      <c r="AH5">
        <f>INDEX('Oct13'!$A$1:$AX$100,MATCH("AEP_TerminationTotals",'Oct13'!$A$1:$A$100,0),MATCH("Net Termination Exposure (Fav)/Unfav",'Oct13'!$A$4:$AX$4,0))</f>
        <v>-1.7952399999999875E-4</v>
      </c>
      <c r="AI5">
        <f>INDEX('Nov13'!$A$1:$AX$100,MATCH("AEP_TerminationTotals",'Nov13'!$A$1:$A$100,0),MATCH("Net Termination Exposure (Fav)/Unfav",'Nov13'!$A$4:$AX$4,0))</f>
        <v>-1.7952399999999875E-4</v>
      </c>
      <c r="AJ5">
        <f>INDEX('Dec13'!$A$1:$AX$100,MATCH("AEP_TerminationTotals",'Dec13'!$A$1:$A$100,0),MATCH("Net Termination Exposure (Fav)/Unfav",'Dec13'!$A$4:$AX$4,0))</f>
        <v>-1.7952399999999875E-4</v>
      </c>
      <c r="AK5">
        <f>INDEX('Jan14'!$A$1:$AX$100,MATCH("AEP_TerminationTotals",'Jan14'!$A$1:$A$100,0),MATCH("Net Termination Exposure (Fav)/Unfav",'Jan14'!$A$4:$AX$4,0))</f>
        <v>-1.7952399999999875E-4</v>
      </c>
      <c r="AL5">
        <f>INDEX('Feb14'!$A$1:$AX$100,MATCH("AEP_TerminationTotals",'Feb14'!$A$1:$A$100,0),MATCH("Net Termination Exposure (Fav)/Unfav",'Feb14'!$A$4:$AX$4,0))</f>
        <v>-1.7952399999999875E-4</v>
      </c>
      <c r="AM5">
        <f>INDEX('Mar14'!$A$1:$AX$100,MATCH("AEP_TerminationTotals",'Mar14'!$A$1:$A$100,0),MATCH("Net Termination Exposure (Fav)/Unfav",'Mar14'!$A$4:$AX$4,0))</f>
        <v>-1.7952399999999875E-4</v>
      </c>
      <c r="AN5">
        <f>INDEX('Apr14'!$A$1:$AX$100,MATCH("AEP_TerminationTotals",'Apr14'!$A$1:$A$100,0),MATCH("Net Termination Exposure (Fav)/Unfav",'Apr14'!$A$4:$AX$4,0))</f>
        <v>-1.7952399999999875E-4</v>
      </c>
      <c r="AO5" t="e">
        <f>INDEX(#REF!,MATCH("AEP_TerminationTotals",#REF!,0),MATCH("Net Termination Exposure (Fav)/Unfav",#REF!,0))</f>
        <v>#REF!</v>
      </c>
      <c r="AP5" t="e">
        <f>INDEX(#REF!,MATCH("AEP_TerminationTotals",#REF!,0),MATCH("Net Termination Exposure (Fav)/Unfav",#REF!,0))</f>
        <v>#REF!</v>
      </c>
      <c r="AQ5">
        <v>0</v>
      </c>
    </row>
    <row r="6" spans="2:43" x14ac:dyDescent="0.25">
      <c r="B6" s="4" t="s">
        <v>92</v>
      </c>
      <c r="C6" s="213">
        <v>0</v>
      </c>
      <c r="D6" s="213">
        <v>0</v>
      </c>
      <c r="E6" s="213">
        <v>0</v>
      </c>
      <c r="F6" s="217">
        <v>0</v>
      </c>
      <c r="G6" s="217">
        <v>0</v>
      </c>
      <c r="H6" s="217">
        <v>0</v>
      </c>
      <c r="I6" s="217">
        <v>0</v>
      </c>
      <c r="J6" s="217">
        <v>0</v>
      </c>
      <c r="K6" s="217">
        <v>0</v>
      </c>
      <c r="L6" s="217">
        <v>0</v>
      </c>
      <c r="M6" s="217">
        <v>0</v>
      </c>
      <c r="N6" s="217">
        <v>0</v>
      </c>
      <c r="O6" s="217">
        <v>0</v>
      </c>
      <c r="P6" s="217">
        <v>0</v>
      </c>
      <c r="Q6" s="217">
        <v>0</v>
      </c>
      <c r="R6" s="217">
        <v>0</v>
      </c>
      <c r="S6" s="217">
        <v>0</v>
      </c>
      <c r="T6" s="217">
        <v>0</v>
      </c>
      <c r="U6" s="217">
        <v>0</v>
      </c>
      <c r="V6" s="217">
        <v>0</v>
      </c>
      <c r="W6" s="217">
        <v>0</v>
      </c>
      <c r="X6" s="217">
        <v>0</v>
      </c>
      <c r="Y6" s="217">
        <v>0</v>
      </c>
      <c r="Z6" s="217">
        <v>0</v>
      </c>
      <c r="AA6" s="217">
        <f>IF(INDEX('Mar13'!$A$1:$AX$100,MATCH("Exc_TerminationTotals",'Mar13'!$A$1:$A$100,0),MATCH("Net Termination Exposure (Fav)/Unfav",'Mar13'!$A$4:$AX$4,0))&gt;0,INDEX('Mar13'!$A$1:$AX$100,MATCH("Exc_TerminationTotals",'Mar13'!$A$1:$A$100,0),MATCH("Net Termination Exposure (Fav)/Unfav",'Mar13'!$A$4:$AX$4,0)),0)</f>
        <v>0</v>
      </c>
      <c r="AB6" s="217">
        <f>IF(INDEX('Apr13'!$A$1:$AX$100,MATCH("Exc_TerminationTotals",'Apr13'!$A$1:$A$100,0),MATCH("Net Termination Exposure (Fav)/Unfav",'Apr13'!$A$4:$AX$4,0))&gt;0,INDEX('Apr13'!$A$1:$AX$100,MATCH("Exc_TerminationTotals",'Apr13'!$A$1:$A$100,0),MATCH("Net Termination Exposure (Fav)/Unfav",'Apr13'!$A$4:$AX$4,0)),0)</f>
        <v>0</v>
      </c>
      <c r="AC6" s="217">
        <f>IF(INDEX('May13'!$A$1:$AX$100,MATCH("Exc_TerminationTotals",'May13'!$A$1:$A$100,0),MATCH("Net Termination Exposure (Fav)/Unfav",'May13'!$A$4:$AX$4,0))&gt;0,INDEX('May13'!$A$1:$AX$100,MATCH("Exc_TerminationTotals",'May13'!$A$1:$A$100,0),MATCH("Net Termination Exposure (Fav)/Unfav",'May13'!$A$4:$AX$4,0)),0)</f>
        <v>0</v>
      </c>
      <c r="AD6" s="217">
        <f>IF(INDEX('Jun13'!$A$1:$AX$100,MATCH("Exc_TerminationTotals",'Jun13'!$A$1:$A$100,0),MATCH("Net Termination Exposure (Fav)/Unfav",'Jun13'!$A$4:$AX$4,0))&gt;0,INDEX('Jun13'!$A$1:$AX$100,MATCH("Exc_TerminationTotals",'Jun13'!$A$1:$A$100,0),MATCH("Net Termination Exposure (Fav)/Unfav",'Jun13'!$A$4:$AX$4,0)),0)</f>
        <v>0</v>
      </c>
      <c r="AE6" s="217">
        <f>IF(INDEX('Jul13'!$A$1:$AX$100,MATCH("Exc_TerminationTotals",'Jul13'!$A$1:$A$100,0),MATCH("Net Termination Exposure (Fav)/Unfav",'Jul13'!$A$4:$AX$4,0))&gt;0,INDEX('Jul13'!$A$1:$AX$100,MATCH("Exc_TerminationTotals",'Jul13'!$A$1:$A$100,0),MATCH("Net Termination Exposure (Fav)/Unfav",'Jul13'!$A$4:$AX$4,0)),0)</f>
        <v>0</v>
      </c>
      <c r="AF6" s="217">
        <f>IF(INDEX('Aug13'!$A$1:$AX$100,MATCH("Exc_TerminationTotals",'Aug13'!$A$1:$A$100,0),MATCH("Net Termination Exposure (Fav)/Unfav",'Aug13'!$A$4:$AX$4,0))&gt;0,INDEX('Aug13'!$A$1:$AX$100,MATCH("Exc_TerminationTotals",'Aug13'!$A$1:$A$100,0),MATCH("Net Termination Exposure (Fav)/Unfav",'Aug13'!$A$4:$AX$4,0)),0)-0.158627445</f>
        <v>-0.15862744500000001</v>
      </c>
      <c r="AG6">
        <f>IF(INDEX('Sep13'!$A$1:$AX$100,MATCH("Exc_TerminationTotals",'Sep13'!$A$1:$A$100,0),MATCH("Net Termination Exposure (Fav)/Unfav",'Sep13'!$A$4:$AX$4,0))&gt;0,INDEX('Sep13'!$A$1:$AX$100,MATCH("Exc_TerminationTotals",'Sep13'!$A$1:$A$100,0),MATCH("Net Termination Exposure (Fav)/Unfav",'Sep13'!$A$4:$AX$4,0)),0)-0.3</f>
        <v>-0.3</v>
      </c>
      <c r="AH6">
        <f>IF(INDEX('Oct13'!$A$1:$AX$100,MATCH("Exc_TerminationTotals",'Oct13'!$A$1:$A$100,0),MATCH("Net Termination Exposure (Fav)/Unfav",'Oct13'!$A$4:$AX$4,0))&gt;0,INDEX('Oct13'!$A$1:$AX$100,MATCH("Exc_TerminationTotals",'Oct13'!$A$1:$A$100,0),MATCH("Net Termination Exposure (Fav)/Unfav",'Oct13'!$A$4:$AX$4,0)),0)</f>
        <v>7.9484369999999901E-2</v>
      </c>
      <c r="AI6">
        <f>IF(INDEX('Nov13'!$A$1:$AX$100,MATCH("Exc_TerminationTotals",'Nov13'!$A$1:$A$100,0),MATCH("Net Termination Exposure (Fav)/Unfav",'Nov13'!$A$4:$AX$4,0))&gt;0,INDEX('Nov13'!$A$1:$AX$100,MATCH("Exc_TerminationTotals",'Nov13'!$A$1:$A$100,0),MATCH("Net Termination Exposure (Fav)/Unfav",'Nov13'!$A$4:$AX$4,0)),0)-0.0677985600000001</f>
        <v>-6.7798560000000105E-2</v>
      </c>
      <c r="AJ6">
        <f>IF(INDEX('Dec13'!$A$1:$AX$100,MATCH("Exc_TerminationTotals",'Dec13'!$A$1:$A$100,0),MATCH("Net Termination Exposure (Fav)/Unfav",'Dec13'!$A$4:$AX$4,0))&gt;0,INDEX('Dec13'!$A$1:$AX$100,MATCH("Exc_TerminationTotals",'Dec13'!$A$1:$A$100,0),MATCH("Net Termination Exposure (Fav)/Unfav",'Dec13'!$A$4:$AX$4,0)),0)-0.14</f>
        <v>-0.14000000000000001</v>
      </c>
      <c r="AK6">
        <f>IF(INDEX('Jan14'!$A$1:$AX$100,MATCH("Exc_TerminationTotals",'Jan14'!$A$1:$A$100,0),MATCH("Net Termination Exposure (Fav)/Unfav",'Jan14'!$A$4:$AX$4,0))&gt;0,INDEX('Jan14'!$A$1:$AX$100,MATCH("Exc_TerminationTotals",'Jan14'!$A$1:$A$100,0),MATCH("Net Termination Exposure (Fav)/Unfav",'Jan14'!$A$4:$AX$4,0)),0)-0.37</f>
        <v>-0.37</v>
      </c>
      <c r="AL6">
        <f>IF(INDEX('Feb14'!$A$1:$AX$100,MATCH("Exc_TerminationTotals",'Feb14'!$A$1:$A$100,0),MATCH("Net Termination Exposure (Fav)/Unfav",'Feb14'!$A$4:$AX$4,0))&gt;0,INDEX('Feb14'!$A$1:$AX$100,MATCH("Exc_TerminationTotals",'Feb14'!$A$1:$A$100,0),MATCH("Net Termination Exposure (Fav)/Unfav",'Feb14'!$A$4:$AX$4,0)),0)-0.79</f>
        <v>-0.79</v>
      </c>
      <c r="AM6">
        <f>IF(INDEX('Mar14'!$A$1:$AX$100,MATCH("Exc_TerminationTotals",'Mar14'!$A$1:$A$100,0),MATCH("Net Termination Exposure (Fav)/Unfav",'Mar14'!$A$4:$AX$4,0))&gt;0,INDEX('Mar14'!$A$1:$AX$100,MATCH("Exc_TerminationTotals",'Mar14'!$A$1:$A$100,0),MATCH("Net Termination Exposure (Fav)/Unfav",'Mar14'!$A$4:$AX$4,0)),0)-0.48</f>
        <v>-0.48</v>
      </c>
      <c r="AN6">
        <f>IF(INDEX('Apr14'!$A$1:$AX$100,MATCH("Exc_TerminationTotals",'Apr14'!$A$1:$A$100,0),MATCH("Net Termination Exposure (Fav)/Unfav",'Apr14'!$A$4:$AX$4,0))&gt;0,INDEX('Apr14'!$A$1:$AX$100,MATCH("Exc_TerminationTotals",'Apr14'!$A$1:$A$100,0),MATCH("Net Termination Exposure (Fav)/Unfav",'Apr14'!$A$4:$AX$4,0)),0)-0.75</f>
        <v>-0.75</v>
      </c>
      <c r="AO6" t="e">
        <f>IF(INDEX(#REF!,MATCH("Exc_TerminationTotals",#REF!,0),MATCH("Net Termination Exposure (Fav)/Unfav",#REF!,0))&gt;0,INDEX(#REF!,MATCH("Exc_TerminationTotals",#REF!,0),MATCH("Net Termination Exposure (Fav)/Unfav",#REF!,0)),0)</f>
        <v>#REF!</v>
      </c>
      <c r="AP6" t="e">
        <f>IF(INDEX(#REF!,MATCH("Exc_TerminationTotals",#REF!,0),MATCH("Net Termination Exposure (Fav)/Unfav",#REF!,0))&gt;0,INDEX(#REF!,MATCH("Exc_TerminationTotals",#REF!,0),MATCH("Net Termination Exposure (Fav)/Unfav",#REF!,0)),0)</f>
        <v>#REF!</v>
      </c>
      <c r="AQ6" s="632">
        <f>IF(INDEX('May14'!$A$1:$AX$100,MATCH("Exc_TerminationTotals",'May14'!$A$1:$A$100,0),MATCH("Net Termination Exposure (Fav)/Unfav",'May14'!$A$4:$AX$4,0))&gt;0,INDEX('May14'!$A$1:$AX$100,MATCH("Exc_TerminationTotals",'May14'!$A$1:$A$100,0),MATCH("Net Termination Exposure (Fav)/Unfav",'May14'!$A$4:$AX$4,0)),0)-0.7</f>
        <v>-0.7</v>
      </c>
    </row>
    <row r="7" spans="2:43" x14ac:dyDescent="0.25">
      <c r="B7" t="s">
        <v>308</v>
      </c>
      <c r="C7" s="213">
        <v>3.6094250000000003</v>
      </c>
      <c r="D7" s="213">
        <v>3.7532797699999998</v>
      </c>
      <c r="E7" s="213">
        <v>4.01082772</v>
      </c>
      <c r="F7" s="217">
        <f t="shared" ref="F7:Q7" ca="1" si="1">INDIRECT(ADDRESS(7,14,,,VLOOKUP(MONTH(F$3),$B$118:$C$129,2)&amp;RIGHT(YEAR(F$3),2)))</f>
        <v>3.8674844199999998</v>
      </c>
      <c r="G7" s="217">
        <f t="shared" ca="1" si="1"/>
        <v>4.2607840000000001</v>
      </c>
      <c r="H7" s="217">
        <f t="shared" ca="1" si="1"/>
        <v>4.796386</v>
      </c>
      <c r="I7" s="217">
        <f t="shared" ca="1" si="1"/>
        <v>4.934882</v>
      </c>
      <c r="J7" s="217">
        <f t="shared" ca="1" si="1"/>
        <v>4.7593129999999997</v>
      </c>
      <c r="K7" s="217">
        <f t="shared" ca="1" si="1"/>
        <v>4.7699999999999996</v>
      </c>
      <c r="L7" s="217">
        <f t="shared" ca="1" si="1"/>
        <v>4.87</v>
      </c>
      <c r="M7" s="217">
        <f t="shared" ca="1" si="1"/>
        <v>5.05</v>
      </c>
      <c r="N7" s="217">
        <f t="shared" ca="1" si="1"/>
        <v>4.83</v>
      </c>
      <c r="O7" s="217">
        <f t="shared" ca="1" si="1"/>
        <v>4.57</v>
      </c>
      <c r="P7" s="217">
        <f t="shared" ca="1" si="1"/>
        <v>4.7746849999999998</v>
      </c>
      <c r="Q7" s="217">
        <f t="shared" ca="1" si="1"/>
        <v>4.9379999999999997</v>
      </c>
      <c r="R7" s="217">
        <v>4.8697480200000003</v>
      </c>
      <c r="S7" s="217">
        <v>4.9868600000000001</v>
      </c>
      <c r="T7" s="217">
        <f>INDEX('Aug12'!$A$1:$AX$100,MATCH($B7,'Aug12'!$C$1:$C$100,0),MATCH("Net Termination Exposure (Fav)/Unfav",'Aug12'!$A$4:$AX$4,0))</f>
        <v>4.9310055999999998</v>
      </c>
      <c r="U7" s="217">
        <f>INDEX('Sep12'!$A$1:$AX$100,MATCH($B7,'Sep12'!$C$1:$C$100,0),MATCH("Net Termination Exposure (Fav)/Unfav",'Sep12'!$A$4:$AX$4,0))</f>
        <v>4.8375297800000006</v>
      </c>
      <c r="V7" s="217">
        <f>INDEX('Oct12'!$A$1:$AX$100,MATCH($B7,'Oct12'!$C$1:$C$100,0),MATCH("Net Termination Exposure (Fav)/Unfav",'Oct12'!$A$4:$AX$4,0))</f>
        <v>4.7441147499999996</v>
      </c>
      <c r="W7" s="217">
        <f>INDEX('Nov12'!$A$1:$AX$100,MATCH($B7,'Nov12'!$C$1:$C$100,0),MATCH("Net Termination Exposure (Fav)/Unfav",'Nov12'!$A$4:$AX$4,0))</f>
        <v>4.7545417499999996</v>
      </c>
      <c r="X7" s="217">
        <f>INDEX('Dec12'!$A$1:$AX$100,MATCH($B7,'Dec12'!$C$1:$C$100,0),MATCH("Net Termination Exposure (Fav)/Unfav",'Dec12'!$A$4:$AX$4,0))</f>
        <v>4.5766081500000002</v>
      </c>
      <c r="Y7" s="217">
        <f>INDEX('Jan13'!$A$1:$AX$100,MATCH($B7,'Jan13'!$C$1:$C$100,0),MATCH("Net Termination Exposure (Fav)/Unfav",'Jan13'!$A$4:$AX$4,0))</f>
        <v>4.3302056100000001</v>
      </c>
      <c r="Z7" s="217">
        <f>INDEX('Feb13'!$A$1:$AX$100,MATCH($B7,'Feb13'!$C$1:$C$100,0),MATCH("Net Termination Exposure (Fav)/Unfav",'Feb13'!$A$4:$AX$4,0))</f>
        <v>4.35074352</v>
      </c>
      <c r="AA7" s="217">
        <f>INDEX('Mar13'!$A$1:$AX$100,MATCH($B7,'Mar13'!$C$1:$C$100,0),MATCH("Net Termination Exposure (Fav)/Unfav",'Mar13'!$A$4:$AX$4,0))</f>
        <v>4.26786406</v>
      </c>
      <c r="AB7" s="217">
        <f>INDEX('Apr13'!$A$1:$AX$100,MATCH($B7,'Apr13'!$C$1:$C$100,0),MATCH("Net Termination Exposure (Fav)/Unfav",'Apr13'!$A$4:$AX$4,0))</f>
        <v>4.3470880599999999</v>
      </c>
      <c r="AC7" s="217">
        <f>INDEX('May13'!$A$1:$AX$100,MATCH($B7,'May13'!$C$1:$C$100,0),MATCH("Net Termination Exposure (Fav)/Unfav",'May13'!$A$4:$AX$4,0))</f>
        <v>3.9189530000000001</v>
      </c>
      <c r="AD7" s="217">
        <f>INDEX('Jun13'!$A$1:$AX$100,MATCH($B7,'Jun13'!$C$1:$C$100,0),MATCH("Net Termination Exposure (Fav)/Unfav",'Jun13'!$A$4:$AX$4,0))</f>
        <v>3.5752103500000003</v>
      </c>
      <c r="AE7" s="217">
        <f>INDEX('Jul13'!$A$1:$AX$100,MATCH($B7,'Jul13'!$C$1:$C$100,0),MATCH("Net Termination Exposure (Fav)/Unfav",'Jul13'!$A$4:$AX$4,0))</f>
        <v>3.5062754100000002</v>
      </c>
      <c r="AF7" s="217">
        <f>INDEX('Aug13'!$A$1:$AX$100,MATCH($B7,'Aug13'!$C$1:$C$100,0),MATCH("Net Termination Exposure (Fav)/Unfav",'Aug13'!$A$4:$AX$4,0))</f>
        <v>3.29002018</v>
      </c>
      <c r="AG7">
        <f>INDEX('Sep13'!$A$1:$AX$100,MATCH($B7,'Sep13'!$C$1:$C$100,0),MATCH("Net Termination Exposure (Fav)/Unfav",'Sep13'!$A$4:$AX$4,0))</f>
        <v>3.43198479</v>
      </c>
      <c r="AH7">
        <f>INDEX('Oct13'!$A$1:$AX$100,MATCH($B7,'Oct13'!$C$1:$C$100,0),MATCH("Net Termination Exposure (Fav)/Unfav",'Oct13'!$A$4:$AX$4,0))</f>
        <v>3.4584720600000001</v>
      </c>
      <c r="AI7">
        <f>INDEX('Nov13'!$A$1:$AX$100,MATCH($B7,'Nov13'!$C$1:$C$100,0),MATCH("Net Termination Exposure (Fav)/Unfav",'Nov13'!$A$4:$AX$4,0))</f>
        <v>3.3247342599999996</v>
      </c>
      <c r="AJ7">
        <f>INDEX('Dec13'!$A$1:$AX$100,MATCH($B7,'Dec13'!$C$1:$C$100,0),MATCH("Net Termination Exposure (Fav)/Unfav",'Dec13'!$A$4:$AX$4,0))</f>
        <v>3.0833353199999998</v>
      </c>
      <c r="AK7">
        <f>INDEX('Jan14'!$A$1:$AX$100,MATCH($B7,'Jan14'!$C$1:$C$100,0),MATCH("Net Termination Exposure (Fav)/Unfav",'Jan14'!$A$4:$AX$4,0))</f>
        <v>3.20344213</v>
      </c>
      <c r="AL7">
        <f>INDEX('Feb14'!$A$1:$AX$100,MATCH($B7,'Feb14'!$C$1:$C$100,0),MATCH("Net Termination Exposure (Fav)/Unfav",'Feb14'!$A$4:$AX$4,0))</f>
        <v>3.1682481600000001</v>
      </c>
      <c r="AM7">
        <f>INDEX('Mar14'!$A$1:$AX$100,MATCH($B7,'Mar14'!$C$1:$C$100,0),MATCH("Net Termination Exposure (Fav)/Unfav",'Mar14'!$A$4:$AX$4,0))</f>
        <v>2.9967290899999997</v>
      </c>
      <c r="AN7">
        <f>INDEX('Apr14'!$A$1:$AX$100,MATCH($B7,'Apr14'!$C$1:$C$100,0),MATCH("Net Termination Exposure (Fav)/Unfav",'Apr14'!$A$4:$AX$4,0))</f>
        <v>3.0135725</v>
      </c>
      <c r="AO7" t="e">
        <f>INDEX(#REF!,MATCH($B7,#REF!,0),MATCH("Net Termination Exposure (Fav)/Unfav",#REF!,0))</f>
        <v>#REF!</v>
      </c>
      <c r="AP7" t="e">
        <f>INDEX(#REF!,MATCH($B7,#REF!,0),MATCH("Net Termination Exposure (Fav)/Unfav",#REF!,0))</f>
        <v>#REF!</v>
      </c>
      <c r="AQ7">
        <v>3.0709919999999999</v>
      </c>
    </row>
    <row r="8" spans="2:43" x14ac:dyDescent="0.25">
      <c r="B8" s="4" t="s">
        <v>309</v>
      </c>
      <c r="C8" s="213">
        <v>4.0471820000000003</v>
      </c>
      <c r="D8" s="213">
        <v>4.31149351</v>
      </c>
      <c r="E8" s="213">
        <v>4.7588415700000004</v>
      </c>
      <c r="F8" s="217">
        <f t="shared" ref="F8:Q8" ca="1" si="2">INDIRECT(ADDRESS(8,14,,,VLOOKUP(MONTH(F$3),$B$118:$C$129,2)&amp;RIGHT(YEAR(F$3),2)))</f>
        <v>4.4774102000000005</v>
      </c>
      <c r="G8" s="217">
        <f t="shared" ca="1" si="2"/>
        <v>5.2478990000000003</v>
      </c>
      <c r="H8" s="217">
        <f t="shared" ca="1" si="2"/>
        <v>6.3657329999999996</v>
      </c>
      <c r="I8" s="217">
        <f t="shared" ca="1" si="2"/>
        <v>6.9332779999999996</v>
      </c>
      <c r="J8" s="217">
        <f t="shared" ca="1" si="2"/>
        <v>6.5610030000000004</v>
      </c>
      <c r="K8" s="217">
        <f t="shared" ca="1" si="2"/>
        <v>6.69</v>
      </c>
      <c r="L8" s="217">
        <f t="shared" ca="1" si="2"/>
        <v>6.97</v>
      </c>
      <c r="M8" s="217">
        <f t="shared" ca="1" si="2"/>
        <v>7.27</v>
      </c>
      <c r="N8" s="217">
        <f t="shared" ca="1" si="2"/>
        <v>6.84</v>
      </c>
      <c r="O8" s="217">
        <f t="shared" ca="1" si="2"/>
        <v>6.32</v>
      </c>
      <c r="P8" s="217">
        <f t="shared" ca="1" si="2"/>
        <v>6.8342749999999999</v>
      </c>
      <c r="Q8" s="217">
        <f t="shared" ca="1" si="2"/>
        <v>7.367</v>
      </c>
      <c r="R8" s="217">
        <v>7.2242605700000002</v>
      </c>
      <c r="S8" s="217">
        <v>7.55</v>
      </c>
      <c r="T8" s="217">
        <f>INDEX('Aug12'!$A$1:$AX$100,MATCH($B8,'Aug12'!$C$1:$C$100,0),MATCH("Net Termination Exposure (Fav)/Unfav",'Aug12'!$A$4:$AX$4,0))</f>
        <v>7.3803024700000002</v>
      </c>
      <c r="U8" s="217">
        <f>INDEX('Sep12'!$A$1:$AX$100,MATCH($B8,'Sep12'!$C$1:$C$100,0),MATCH("Net Termination Exposure (Fav)/Unfav",'Sep12'!$A$4:$AX$4,0))</f>
        <v>7.2117712200000001</v>
      </c>
      <c r="V8" s="217">
        <f>INDEX('Oct12'!$A$1:$AX$100,MATCH($B8,'Oct12'!$C$1:$C$100,0),MATCH("Net Termination Exposure (Fav)/Unfav",'Oct12'!$A$4:$AX$4,0))</f>
        <v>7.1144064699999996</v>
      </c>
      <c r="W8" s="217">
        <f>INDEX('Nov12'!$A$1:$AX$100,MATCH($B8,'Nov12'!$C$1:$C$100,0),MATCH("Net Termination Exposure (Fav)/Unfav",'Nov12'!$A$4:$AX$4,0))</f>
        <v>7.2157531500000003</v>
      </c>
      <c r="X8" s="217">
        <f>INDEX('Dec12'!$A$1:$AX$100,MATCH($B8,'Dec12'!$C$1:$C$100,0),MATCH("Net Termination Exposure (Fav)/Unfav",'Dec12'!$A$4:$AX$4,0))</f>
        <v>6.8170439800000002</v>
      </c>
      <c r="Y8" s="217">
        <f>INDEX('Jan13'!$A$1:$AX$100,MATCH($B8,'Jan13'!$C$1:$C$100,0),MATCH("Net Termination Exposure (Fav)/Unfav",'Jan13'!$A$4:$AX$4,0))</f>
        <v>6.3361836199999999</v>
      </c>
      <c r="Z8" s="217">
        <f>INDEX('Feb13'!$A$1:$AX$100,MATCH($B8,'Feb13'!$C$1:$C$100,0),MATCH("Net Termination Exposure (Fav)/Unfav",'Feb13'!$A$4:$AX$4,0))</f>
        <v>6.4476132499999999</v>
      </c>
      <c r="AA8" s="217">
        <f>INDEX('Mar13'!$A$1:$AX$100,MATCH($B8,'Mar13'!$C$1:$C$100,0),MATCH("Net Termination Exposure (Fav)/Unfav",'Mar13'!$A$4:$AX$4,0))</f>
        <v>6.3042127800000003</v>
      </c>
      <c r="AB8" s="217">
        <f>INDEX('Apr13'!$A$1:$AX$100,MATCH($B8,'Apr13'!$C$1:$C$100,0),MATCH("Net Termination Exposure (Fav)/Unfav",'Apr13'!$A$4:$AX$4,0))</f>
        <v>6.5903075700000002</v>
      </c>
      <c r="AC8" s="217">
        <f>INDEX('May13'!$A$1:$AX$100,MATCH($B8,'May13'!$C$1:$C$100,0),MATCH("Net Termination Exposure (Fav)/Unfav",'May13'!$A$4:$AX$4,0))</f>
        <v>5.6328978899999997</v>
      </c>
      <c r="AD8" s="217">
        <f>INDEX('Jun13'!$A$1:$AX$100,MATCH($B8,'Jun13'!$C$1:$C$100,0),MATCH("Net Termination Exposure (Fav)/Unfav",'Jun13'!$A$4:$AX$4,0))</f>
        <v>4.9667997399999999</v>
      </c>
      <c r="AE8" s="217">
        <f>INDEX('Jul13'!$A$1:$AX$100,MATCH($B8,'Jul13'!$C$1:$C$100,0),MATCH("Net Termination Exposure (Fav)/Unfav",'Jul13'!$A$4:$AX$4,0))</f>
        <v>4.8292816399999996</v>
      </c>
      <c r="AF8" s="217">
        <f>INDEX('Aug13'!$A$1:$AX$100,MATCH($B8,'Aug13'!$C$1:$C$100,0),MATCH("Net Termination Exposure (Fav)/Unfav",'Aug13'!$A$4:$AX$4,0))</f>
        <v>4.4769954299999997</v>
      </c>
      <c r="AG8">
        <f>INDEX('Sep13'!$A$1:$AX$100,MATCH($B8,'Sep13'!$C$1:$C$100,0),MATCH("Net Termination Exposure (Fav)/Unfav",'Sep13'!$A$4:$AX$4,0))</f>
        <v>4.7543476799999995</v>
      </c>
      <c r="AH8">
        <f>INDEX('Oct13'!$A$1:$AX$100,MATCH($B8,'Oct13'!$C$1:$C$100,0),MATCH("Net Termination Exposure (Fav)/Unfav",'Oct13'!$A$4:$AX$4,0))</f>
        <v>4.8817685400000004</v>
      </c>
      <c r="AI8">
        <f>INDEX('Nov13'!$A$1:$AX$100,MATCH($B8,'Nov13'!$C$1:$C$100,0),MATCH("Net Termination Exposure (Fav)/Unfav",'Nov13'!$A$4:$AX$4,0))</f>
        <v>4.63459588</v>
      </c>
      <c r="AJ8">
        <f>INDEX('Dec13'!$A$1:$AX$100,MATCH($B8,'Dec13'!$C$1:$C$100,0),MATCH("Net Termination Exposure (Fav)/Unfav",'Dec13'!$A$4:$AX$4,0))</f>
        <v>4.1440536400000001</v>
      </c>
      <c r="AK8">
        <f>INDEX('Jan14'!$A$1:$AX$100,MATCH($B8,'Jan14'!$C$1:$C$100,0),MATCH("Net Termination Exposure (Fav)/Unfav",'Jan14'!$A$4:$AX$4,0))</f>
        <v>4.5403205499999997</v>
      </c>
      <c r="AL8">
        <f>INDEX('Feb14'!$A$1:$AX$100,MATCH($B8,'Feb14'!$C$1:$C$100,0),MATCH("Net Termination Exposure (Fav)/Unfav",'Feb14'!$A$4:$AX$4,0))</f>
        <v>4.5967950100000001</v>
      </c>
      <c r="AM8">
        <f>INDEX('Mar14'!$A$1:$AX$100,MATCH($B8,'Mar14'!$C$1:$C$100,0),MATCH("Net Termination Exposure (Fav)/Unfav",'Mar14'!$A$4:$AX$4,0))</f>
        <v>4.34756768</v>
      </c>
      <c r="AN8">
        <f>INDEX('Apr14'!$A$1:$AX$100,MATCH($B8,'Apr14'!$C$1:$C$100,0),MATCH("Net Termination Exposure (Fav)/Unfav",'Apr14'!$A$4:$AX$4,0))</f>
        <v>4.4887825499999998</v>
      </c>
      <c r="AO8" t="e">
        <f>INDEX(#REF!,MATCH($B8,#REF!,0),MATCH("Net Termination Exposure (Fav)/Unfav",#REF!,0))</f>
        <v>#REF!</v>
      </c>
      <c r="AP8" t="e">
        <f>INDEX(#REF!,MATCH($B8,#REF!,0),MATCH("Net Termination Exposure (Fav)/Unfav",#REF!,0))</f>
        <v>#REF!</v>
      </c>
      <c r="AQ8">
        <v>4.7187799999999998</v>
      </c>
    </row>
    <row r="9" spans="2:43" x14ac:dyDescent="0.25">
      <c r="B9" s="4" t="s">
        <v>307</v>
      </c>
      <c r="C9" s="216">
        <v>15.349515</v>
      </c>
      <c r="D9" s="216">
        <v>16.497802880000002</v>
      </c>
      <c r="E9" s="216">
        <v>18.44716756</v>
      </c>
      <c r="F9" s="217">
        <f t="shared" ref="F9:Q9" ca="1" si="3">INDIRECT(ADDRESS(5,14,,,VLOOKUP(MONTH(F$3),$B$118:$C$129,2)&amp;RIGHT(YEAR(F$3),2)))+INDIRECT(ADDRESS(6,14,,,VLOOKUP(MONTH(F$3),$B$118:$C$129,2)&amp;RIGHT(YEAR(F$3),2)))</f>
        <v>18.002959709999999</v>
      </c>
      <c r="G9" s="217">
        <f t="shared" ca="1" si="3"/>
        <v>20.792628999999998</v>
      </c>
      <c r="H9" s="217">
        <f t="shared" ca="1" si="3"/>
        <v>21.849111000000001</v>
      </c>
      <c r="I9" s="217">
        <f t="shared" ca="1" si="3"/>
        <v>22.635100000000001</v>
      </c>
      <c r="J9" s="217">
        <f t="shared" ca="1" si="3"/>
        <v>22.161451</v>
      </c>
      <c r="K9" s="217">
        <f t="shared" ca="1" si="3"/>
        <v>22.46</v>
      </c>
      <c r="L9" s="297">
        <f t="shared" ca="1" si="3"/>
        <v>24.060000000000002</v>
      </c>
      <c r="M9" s="297">
        <f t="shared" ca="1" si="3"/>
        <v>26.18</v>
      </c>
      <c r="N9" s="297">
        <f t="shared" ca="1" si="3"/>
        <v>23.08</v>
      </c>
      <c r="O9" s="297">
        <f t="shared" ca="1" si="3"/>
        <v>22.07</v>
      </c>
      <c r="P9" s="297">
        <f t="shared" ca="1" si="3"/>
        <v>23.653594999999999</v>
      </c>
      <c r="Q9" s="297">
        <f t="shared" ca="1" si="3"/>
        <v>24.72</v>
      </c>
      <c r="R9" s="297">
        <v>25.074533500000001</v>
      </c>
      <c r="S9" s="297">
        <v>26.647289999999998</v>
      </c>
      <c r="T9" s="297">
        <f>INDEX('Aug12'!$A$1:$AX$100,MATCH($B9,'Aug12'!$C$1:$C$100,0),MATCH("Net Termination Exposure (Fav)/Unfav",'Aug12'!$A$4:$AX$4,0))  + INDEX('Aug12'!$A$1:$AX$100,MATCH($B9,'Aug12'!$C$1:$C$100,0)+1,MATCH("Net Termination Exposure (Fav)/Unfav",'Aug12'!$A$4:$AX$4,0))</f>
        <v>24.45594226</v>
      </c>
      <c r="U9" s="297">
        <f>INDEX('Sep12'!$A$1:$AX$100,MATCH($B9,'Sep12'!$C$1:$C$100,0),MATCH("Net Termination Exposure (Fav)/Unfav",'Sep12'!$A$4:$AX$4,0))  + INDEX('Sep12'!$A$1:$AX$100,MATCH($B9,'Sep12'!$C$1:$C$100,0)+1,MATCH("Net Termination Exposure (Fav)/Unfav",'Sep12'!$A$4:$AX$4,0))</f>
        <v>24.337743019999998</v>
      </c>
      <c r="V9" s="297">
        <f>INDEX('Oct12'!$A$1:$AX$100,MATCH($B9,'Oct12'!$C$1:$C$100,0),MATCH("Net Termination Exposure (Fav)/Unfav",'Oct12'!$A$4:$AX$4,0))  + INDEX('Oct12'!$A$1:$AX$100,MATCH($B9,'Oct12'!$C$1:$C$100,0)+1,MATCH("Net Termination Exposure (Fav)/Unfav",'Oct12'!$A$4:$AX$4,0))</f>
        <v>24.212485170000001</v>
      </c>
      <c r="W9" s="297">
        <f>INDEX('Nov12'!$A$1:$AX$100,MATCH($B9,'Nov12'!$C$1:$C$100,0),MATCH("Net Termination Exposure (Fav)/Unfav",'Nov12'!$A$4:$AX$4,0))  + INDEX('Nov12'!$A$1:$AX$100,MATCH($B9,'Nov12'!$C$1:$C$100,0)+1,MATCH("Net Termination Exposure (Fav)/Unfav",'Nov12'!$A$4:$AX$4,0))</f>
        <v>24.798040009999998</v>
      </c>
      <c r="X9" s="297">
        <f>INDEX('Dec12'!$A$1:$AX$100,MATCH($B9,'Dec12'!$C$1:$C$100,0),MATCH("Net Termination Exposure (Fav)/Unfav",'Dec12'!$A$4:$AX$4,0))  + INDEX('Dec12'!$A$1:$AX$100,MATCH($B9,'Dec12'!$C$1:$C$100,0)+1,MATCH("Net Termination Exposure (Fav)/Unfav",'Dec12'!$A$4:$AX$4,0))</f>
        <v>24.238635450000004</v>
      </c>
      <c r="Y9" s="297">
        <f>INDEX('Jan13'!$A$1:$AX$100,MATCH($B9,'Jan13'!$C$1:$C$100,0),MATCH("Net Termination Exposure (Fav)/Unfav",'Jan13'!$A$4:$AX$4,0))  + INDEX('Jan13'!$A$1:$AX$100,MATCH($B9,'Jan13'!$C$1:$C$100,0)+1,MATCH("Net Termination Exposure (Fav)/Unfav",'Jan13'!$A$4:$AX$4,0))</f>
        <v>23.251531920000001</v>
      </c>
      <c r="Z9" s="297">
        <f>INDEX('Feb13'!$A$1:$AX$100,MATCH($B9,'Feb13'!$C$1:$C$100,0),MATCH("Net Termination Exposure (Fav)/Unfav",'Feb13'!$A$4:$AX$4,0))  + INDEX('Feb13'!$A$1:$AX$100,MATCH($B9,'Feb13'!$C$1:$C$100,0)+1,MATCH("Net Termination Exposure (Fav)/Unfav",'Feb13'!$A$4:$AX$4,0))</f>
        <v>21.702873819999997</v>
      </c>
      <c r="AA9" s="297">
        <f>INDEX('Mar13'!$A$1:$AX$100,MATCH($B9,'Mar13'!$C$1:$C$100,0),MATCH("Net Termination Exposure (Fav)/Unfav",'Mar13'!$A$4:$AX$4,0))  + INDEX('Mar13'!$A$1:$AX$100,MATCH($B9,'Mar13'!$C$1:$C$100,0)+1,MATCH("Net Termination Exposure (Fav)/Unfav",'Mar13'!$A$4:$AX$4,0))</f>
        <v>21.660714720000001</v>
      </c>
      <c r="AB9" s="297">
        <f>INDEX('Apr13'!$A$1:$AX$100,MATCH($B9,'Apr13'!$C$1:$C$100,0),MATCH("Net Termination Exposure (Fav)/Unfav",'Apr13'!$A$4:$AX$4,0))  + INDEX('Apr13'!$A$1:$AX$100,MATCH($B9,'Apr13'!$C$1:$C$100,0)+1,MATCH("Net Termination Exposure (Fav)/Unfav",'Apr13'!$A$4:$AX$4,0))</f>
        <v>22.579875210000001</v>
      </c>
      <c r="AC9" s="297">
        <f>INDEX('May13'!$A$1:$AX$100,MATCH($B9,'May13'!$C$1:$C$100,0),MATCH("Net Termination Exposure (Fav)/Unfav",'May13'!$A$4:$AX$4,0))  + INDEX('May13'!$A$1:$AX$100,MATCH($B9,'May13'!$C$1:$C$100,0)+1,MATCH("Net Termination Exposure (Fav)/Unfav",'May13'!$A$4:$AX$4,0))</f>
        <v>20.366157270000002</v>
      </c>
      <c r="AD9" s="297">
        <f>INDEX('Jun13'!$A$1:$AX$100,MATCH($B9,'Jun13'!$C$1:$C$100,0),MATCH("Net Termination Exposure (Fav)/Unfav",'Jun13'!$A$4:$AX$4,0))  + INDEX('Jun13'!$A$1:$AX$100,MATCH($B9,'Jun13'!$C$1:$C$100,0)+1,MATCH("Net Termination Exposure (Fav)/Unfav",'Jun13'!$A$4:$AX$4,0))</f>
        <v>18.722818759999999</v>
      </c>
      <c r="AE9" s="297">
        <f>INDEX('Jul13'!$A$1:$AX$100,MATCH($B9,'Jul13'!$C$1:$C$100,0),MATCH("Net Termination Exposure (Fav)/Unfav",'Jul13'!$A$4:$AX$4,0))  + INDEX('Jul13'!$A$1:$AX$100,MATCH($B9,'Jul13'!$C$1:$C$100,0)+1,MATCH("Net Termination Exposure (Fav)/Unfav",'Jul13'!$A$4:$AX$4,0))</f>
        <v>18.795171719999999</v>
      </c>
      <c r="AF9" s="297">
        <f>INDEX('Aug13'!$A$1:$AX$100,MATCH($B9,'Aug13'!$C$1:$C$100,0),MATCH("Net Termination Exposure (Fav)/Unfav",'Aug13'!$A$4:$AX$4,0))  + INDEX('Aug13'!$A$1:$AX$100,MATCH($B9,'Aug13'!$C$1:$C$100,0)+1,MATCH("Net Termination Exposure (Fav)/Unfav",'Aug13'!$A$4:$AX$4,0))</f>
        <v>15.80911395</v>
      </c>
      <c r="AG9">
        <f>INDEX('Sep13'!$A$1:$AX$100,MATCH($B9,'Sep13'!$C$1:$C$100,0),MATCH("Net Termination Exposure (Fav)/Unfav",'Sep13'!$A$4:$AX$4,0))  + INDEX('Sep13'!$A$1:$AX$100,MATCH($B9,'Sep13'!$C$1:$C$100,0)+1,MATCH("Net Termination Exposure (Fav)/Unfav",'Sep13'!$A$4:$AX$4,0))</f>
        <v>16.987170509999999</v>
      </c>
      <c r="AH9">
        <f>INDEX('Oct13'!$A$1:$AX$100,MATCH($B9,'Oct13'!$C$1:$C$100,0),MATCH("Net Termination Exposure (Fav)/Unfav",'Oct13'!$A$4:$AX$4,0))  + INDEX('Oct13'!$A$1:$AX$100,MATCH($B9,'Oct13'!$C$1:$C$100,0)+1,MATCH("Net Termination Exposure (Fav)/Unfav",'Oct13'!$A$4:$AX$4,0))</f>
        <v>17.569483129999998</v>
      </c>
      <c r="AI9">
        <f>INDEX('Nov13'!$A$1:$AX$100,MATCH($B9,'Nov13'!$C$1:$C$100,0),MATCH("Net Termination Exposure (Fav)/Unfav",'Nov13'!$A$4:$AX$4,0))  + INDEX('Nov13'!$A$1:$AX$100,MATCH($B9,'Nov13'!$C$1:$C$100,0)+1,MATCH("Net Termination Exposure (Fav)/Unfav",'Nov13'!$A$4:$AX$4,0))</f>
        <v>17.4912378</v>
      </c>
      <c r="AJ9">
        <f>INDEX('Dec13'!$A$1:$AX$100,MATCH($B9,'Dec13'!$C$1:$C$100,0),MATCH("Net Termination Exposure (Fav)/Unfav",'Dec13'!$A$4:$AX$4,0))  + INDEX('Dec13'!$A$1:$AX$100,MATCH($B9,'Dec13'!$C$1:$C$100,0)+1,MATCH("Net Termination Exposure (Fav)/Unfav",'Dec13'!$A$4:$AX$4,0))</f>
        <v>16.316679399999998</v>
      </c>
      <c r="AK9">
        <f>INDEX('Jan14'!$A$1:$AX$100,MATCH($B9,'Jan14'!$C$1:$C$100,0),MATCH("Net Termination Exposure (Fav)/Unfav",'Jan14'!$A$4:$AX$4,0))  + INDEX('Jan14'!$A$1:$AX$100,MATCH($B9,'Jan14'!$C$1:$C$100,0)+1,MATCH("Net Termination Exposure (Fav)/Unfav",'Jan14'!$A$4:$AX$4,0))</f>
        <v>17.39634371</v>
      </c>
      <c r="AL9">
        <f>INDEX('Feb14'!$A$1:$AX$100,MATCH($B9,'Feb14'!$C$1:$C$100,0),MATCH("Net Termination Exposure (Fav)/Unfav",'Feb14'!$A$4:$AX$4,0))  + INDEX('Feb14'!$A$1:$AX$100,MATCH($B9,'Feb14'!$C$1:$C$100,0)+1,MATCH("Net Termination Exposure (Fav)/Unfav",'Feb14'!$A$4:$AX$4,0))</f>
        <v>15.562616390000001</v>
      </c>
      <c r="AM9">
        <f>INDEX('Mar14'!$A$1:$AX$100,MATCH($B9,'Mar14'!$C$1:$C$100,0),MATCH("Net Termination Exposure (Fav)/Unfav",'Mar14'!$A$4:$AX$4,0))  + INDEX('Mar14'!$A$1:$AX$100,MATCH($B9,'Mar14'!$C$1:$C$100,0)+1,MATCH("Net Termination Exposure (Fav)/Unfav",'Mar14'!$A$4:$AX$4,0))</f>
        <v>15.18394777</v>
      </c>
      <c r="AN9">
        <f>INDEX('Apr14'!$A$1:$AX$100,MATCH($B9,'Apr14'!$C$1:$C$100,0),MATCH("Net Termination Exposure (Fav)/Unfav",'Apr14'!$A$4:$AX$4,0))  + INDEX('Apr14'!$A$1:$AX$100,MATCH($B9,'Apr14'!$C$1:$C$100,0)+1,MATCH("Net Termination Exposure (Fav)/Unfav",'Apr14'!$A$4:$AX$4,0))</f>
        <v>15.59912233</v>
      </c>
      <c r="AO9" t="e">
        <f>INDEX(#REF!,MATCH($B9,#REF!,0),MATCH("Net Termination Exposure (Fav)/Unfav",#REF!,0))  + INDEX(#REF!,MATCH($B9,#REF!,0)+1,MATCH("Net Termination Exposure (Fav)/Unfav",#REF!,0))</f>
        <v>#REF!</v>
      </c>
      <c r="AP9" t="e">
        <f>INDEX(#REF!,MATCH($B9,#REF!,0),MATCH("Net Termination Exposure (Fav)/Unfav",#REF!,0))  + INDEX(#REF!,MATCH($B9,#REF!,0)+1,MATCH("Net Termination Exposure (Fav)/Unfav",#REF!,0))</f>
        <v>#REF!</v>
      </c>
      <c r="AQ9">
        <f>13.2349+3.13436</f>
        <v>16.369260000000001</v>
      </c>
    </row>
    <row r="10" spans="2:43" x14ac:dyDescent="0.25">
      <c r="B10" s="4" t="s">
        <v>238</v>
      </c>
      <c r="C10" s="216">
        <v>24.983999999999998</v>
      </c>
      <c r="D10" s="216">
        <v>10.554163000000001</v>
      </c>
      <c r="E10" s="216">
        <v>10.493401</v>
      </c>
      <c r="F10" s="217">
        <f t="shared" ref="F10:Q10" ca="1" si="4">INDIRECT(ADDRESS(18,14,,,VLOOKUP(MONTH(F$3),$B$118:$C$129,2)&amp;RIGHT(YEAR(F$3),2)))</f>
        <v>12.765947000000001</v>
      </c>
      <c r="G10" s="217">
        <f t="shared" ca="1" si="4"/>
        <v>14.202437535000051</v>
      </c>
      <c r="H10" s="217">
        <f t="shared" ca="1" si="4"/>
        <v>13.478108000000001</v>
      </c>
      <c r="I10" s="217">
        <f t="shared" ca="1" si="4"/>
        <v>16.278231000000002</v>
      </c>
      <c r="J10" s="217">
        <f t="shared" ca="1" si="4"/>
        <v>15.838846999999999</v>
      </c>
      <c r="K10" s="217">
        <f t="shared" ca="1" si="4"/>
        <v>18.34</v>
      </c>
      <c r="L10" s="217">
        <f t="shared" ca="1" si="4"/>
        <v>21.175257999999999</v>
      </c>
      <c r="M10" s="217">
        <f t="shared" ca="1" si="4"/>
        <v>22.18</v>
      </c>
      <c r="N10" s="217">
        <f t="shared" ca="1" si="4"/>
        <v>19.239999999999998</v>
      </c>
      <c r="O10" s="217">
        <f t="shared" ca="1" si="4"/>
        <v>19.72</v>
      </c>
      <c r="P10" s="217">
        <f t="shared" ca="1" si="4"/>
        <v>18.13</v>
      </c>
      <c r="Q10" s="217">
        <f t="shared" ca="1" si="4"/>
        <v>17.52</v>
      </c>
      <c r="R10" s="217">
        <v>13.73</v>
      </c>
      <c r="S10" s="217">
        <v>11.09</v>
      </c>
      <c r="T10" s="217">
        <f>INDEX('Aug12'!$A$1:$AX$100,MATCH("GasTerminationTotals",'Aug12'!$A$1:$A$100,0),MATCH("Net Termination Exposure (Fav)/Unfav",'Aug12'!$A$4:$AX$4,0))</f>
        <v>13.732053000000001</v>
      </c>
      <c r="U10" s="217">
        <f>INDEX('Sep12'!$A$1:$AX$100,MATCH("GasTerminationTotals",'Sep12'!$A$1:$A$100,0),MATCH("Net Termination Exposure (Fav)/Unfav",'Sep12'!$A$4:$AX$4,0))</f>
        <v>7.6830230000000004</v>
      </c>
      <c r="V10" s="217">
        <f>INDEX('Oct12'!$A$1:$AX$100,MATCH("GasTerminationTotals",'Oct12'!$A$1:$A$100,0)-1,MATCH("Net Termination Exposure (Fav)/Unfav",'Oct12'!$A$4:$AX$4,0))</f>
        <v>7.8547440000000002</v>
      </c>
      <c r="W10" s="217">
        <f>INDEX('Nov12'!$A$1:$AX$100,MATCH("GasTerminationTotals",'Nov12'!$A$1:$A$100,0)-1,MATCH("Net Termination Exposure (Fav)/Unfav",'Nov12'!$A$4:$AX$4,0))</f>
        <v>8.0431869999999996</v>
      </c>
      <c r="X10" s="217">
        <f>INDEX('Dec12'!$A$1:$AX$100,MATCH("GasTerminationTotals",'Dec12'!$A$1:$A$100,0)-1,MATCH("Net Termination Exposure (Fav)/Unfav",'Dec12'!$A$4:$AX$4,0))</f>
        <v>8.3711260000000003</v>
      </c>
      <c r="Y10" s="217">
        <v>6.2028879999999997</v>
      </c>
      <c r="Z10" s="217">
        <f>INDEX('Feb13'!$A$1:$AX$100,MATCH("GasTerminationTotals",'Feb13'!$A$1:$A$100,0)-1,MATCH("Net Termination Exposure (Fav)/Unfav",'Feb13'!$A$4:$AX$4,0))</f>
        <v>4.7438549999999999</v>
      </c>
      <c r="AA10" s="217">
        <f>INDEX('Mar13'!$A$1:$AX$100,MATCH("GasTerminationTotals",'Mar13'!$A$1:$A$100,0)-1,MATCH("Net Termination Exposure (Fav)/Unfav",'Mar13'!$A$4:$AX$4,0))</f>
        <v>2.2041225099999999</v>
      </c>
      <c r="AB10" s="217">
        <f>INDEX('Apr13'!$A$1:$AX$100,MATCH("GasTerminationTotals",'Apr13'!$A$1:$A$100,0)-1,MATCH("Net Termination Exposure (Fav)/Unfav",'Apr13'!$A$4:$AX$4,0))</f>
        <v>0.17397699999999999</v>
      </c>
      <c r="AC10" s="217">
        <f>INDEX('May13'!$A$1:$AX$100,MATCH("GasTerminationTotals",'May13'!$A$1:$A$100,0)-1,MATCH("Net Termination Exposure (Fav)/Unfav",'May13'!$A$4:$AX$4,0))</f>
        <v>1.4730479999999999</v>
      </c>
      <c r="AD10" s="217">
        <f>INDEX('Jun13'!$A$1:$AX$100,MATCH("GasTerminationTotals",'Jun13'!$A$1:$A$100,0)-1,MATCH("Net Termination Exposure (Fav)/Unfav",'Jun13'!$A$4:$AX$4,0))</f>
        <v>3.1050849999999999</v>
      </c>
      <c r="AE10" s="217">
        <f>INDEX('Jul13'!$A$1:$AX$100,MATCH("GasTerminationTotals",'Jul13'!$A$1:$A$100,0)-1,MATCH("Net Termination Exposure (Fav)/Unfav",'Jul13'!$A$4:$AX$4,0))</f>
        <v>4.0384510000000002</v>
      </c>
      <c r="AF10" s="217">
        <f>INDEX('Aug13'!$A$1:$AX$100,MATCH("GasTerminationTotals",'Aug13'!$A$1:$A$100,0)-1,MATCH("Net Termination Exposure (Fav)/Unfav",'Aug13'!$A$4:$AX$4,0))</f>
        <v>2.7665820000000001</v>
      </c>
      <c r="AG10">
        <f>INDEX('Sep13'!$A$1:$AX$100,MATCH("GasTerminationTotals",'Sep13'!$A$1:$A$100,0)-1,MATCH("Net Termination Exposure (Fav)/Unfav",'Sep13'!$A$4:$AX$4,0))</f>
        <v>3.1211289999999998</v>
      </c>
      <c r="AH10">
        <f>INDEX('Oct13'!$A$1:$AX$100,MATCH("GasTerminationTotals",'Oct13'!$A$1:$A$100,0)-1,MATCH("Net Termination Exposure (Fav)/Unfav",'Oct13'!$A$4:$AX$4,0))</f>
        <v>3.9308719999999999</v>
      </c>
      <c r="AI10">
        <f>INDEX('Nov13'!$A$1:$AX$100,MATCH("GasTerminationTotals",'Nov13'!$A$1:$A$100,0)-1,MATCH("Net Termination Exposure (Fav)/Unfav",'Nov13'!$A$4:$AX$4,0))</f>
        <v>1.3448420000000001</v>
      </c>
      <c r="AJ10">
        <f>INDEX('Dec13'!$A$1:$AX$100,MATCH("GasTerminationTotals",'Dec13'!$A$1:$A$100,0)-1,MATCH("Net Termination Exposure (Fav)/Unfav",'Dec13'!$A$4:$AX$4,0))</f>
        <v>0.97752899999999998</v>
      </c>
      <c r="AK10">
        <f>INDEX('Jan14'!$A$1:$AX$100,MATCH("GasTerminationTotals",'Jan14'!$A$1:$A$100,0)-1,MATCH("Net Termination Exposure (Fav)/Unfav",'Jan14'!$A$4:$AX$4,0))</f>
        <v>1.8138540000000001</v>
      </c>
      <c r="AL10">
        <f>-INDEX('Feb14'!$A$1:$AX$100,MATCH("GasTerminationTotals",'Feb14'!$A$1:$A$100,0)-1,MATCH("Net Termination Exposure (Fav)/Unfav",'Feb14'!$A$4:$AX$4,0))</f>
        <v>1.025576</v>
      </c>
      <c r="AM10">
        <f>INDEX('Mar14'!$A$1:$AX$100,MATCH("GasTerminationTotals",'Mar14'!$A$1:$A$100,0)-1,MATCH("Net Termination Exposure (Fav)/Unfav",'Mar14'!$A$4:$AX$4,0))</f>
        <v>-1.0326759999999999</v>
      </c>
      <c r="AN10">
        <f>INDEX('Apr14'!$A$1:$AX$100,MATCH("GasTerminationTotals",'Apr14'!$A$1:$A$100,0)-1,MATCH("Net Termination Exposure (Fav)/Unfav",'Apr14'!$A$4:$AX$4,0))</f>
        <v>-0.76319000000000004</v>
      </c>
      <c r="AO10" t="e">
        <f>INDEX(#REF!,MATCH("GasTerminationTotals",#REF!,0)-1,MATCH("Net Termination Exposure (Fav)/Unfav",#REF!,0))</f>
        <v>#REF!</v>
      </c>
      <c r="AP10" t="e">
        <f>INDEX(#REF!,MATCH("GasTerminationTotals",#REF!,0)-1,MATCH("Net Termination Exposure (Fav)/Unfav",#REF!,0))</f>
        <v>#REF!</v>
      </c>
      <c r="AQ10">
        <f>INDEX('May14'!$A$1:$AX$100,MATCH("GasTerminationTotals",'May14'!$A$1:$A$100,0)-1,MATCH("Net Termination Exposure (Fav)/Unfav",'May14'!$A$4:$AX$4,0))</f>
        <v>-1.059153</v>
      </c>
    </row>
    <row r="11" spans="2:43" ht="15" x14ac:dyDescent="0.4">
      <c r="B11" s="557" t="s">
        <v>354</v>
      </c>
      <c r="C11" s="143">
        <v>0</v>
      </c>
      <c r="D11" s="143">
        <v>0</v>
      </c>
      <c r="E11" s="143">
        <v>0</v>
      </c>
      <c r="F11" s="219">
        <f ca="1">INDIRECT(ADDRESS(31,14,,,VLOOKUP(MONTH(F$3),$B$118:$C$129,2)&amp;RIGHT(YEAR(F$3),2)))</f>
        <v>0</v>
      </c>
      <c r="G11" s="219">
        <f ca="1">INDIRECT(ADDRESS(31,14,,,VLOOKUP(MONTH(G$3),$B$118:$C$129,2)&amp;RIGHT(YEAR(G$3),2)))</f>
        <v>-1.6499999999999987E-3</v>
      </c>
      <c r="H11" s="219">
        <f ca="1">INDIRECT(ADDRESS(31,14,,,VLOOKUP(MONTH(H$3),$B$118:$C$129,2)&amp;RIGHT(YEAR(H$3),2)))</f>
        <v>-1.5000000000000013E-3</v>
      </c>
      <c r="I11" s="219">
        <v>0</v>
      </c>
      <c r="J11" s="219">
        <v>0</v>
      </c>
      <c r="K11" s="219">
        <v>0</v>
      </c>
      <c r="L11" s="219">
        <v>0</v>
      </c>
      <c r="M11" s="219">
        <v>0</v>
      </c>
      <c r="N11" s="219">
        <v>0</v>
      </c>
      <c r="O11" s="219">
        <f ca="1">INDIRECT(ADDRESS(31,14,,,VLOOKUP(MONTH(O$3),$B$118:$C$129,2)&amp;RIGHT(YEAR(O$3),2)))</f>
        <v>0</v>
      </c>
      <c r="P11" s="219">
        <f ca="1">INDIRECT(ADDRESS(31,14,,,VLOOKUP(MONTH(P$3),$B$118:$C$129,2)&amp;RIGHT(YEAR(P$3),2)))</f>
        <v>0</v>
      </c>
      <c r="Q11" s="219">
        <f ca="1">INDIRECT(ADDRESS(31,14,,,VLOOKUP(MONTH(Q$3),$B$118:$C$129,2)&amp;RIGHT(YEAR(Q$3),2)))</f>
        <v>0</v>
      </c>
      <c r="R11" s="219">
        <v>0</v>
      </c>
      <c r="S11" s="219">
        <v>0</v>
      </c>
      <c r="T11" s="219">
        <f>INDEX('Aug12'!$A$1:$AX$100,MATCH("CurrencyTerminationTotals",'Aug12'!$A$1:$A$100,0),MATCH("Net Termination Exposure (Fav)/Unfav",'Aug12'!$A$4:$AX$4,0))</f>
        <v>0</v>
      </c>
      <c r="U11" s="219">
        <f>INDEX('Sep12'!$A$1:$AX$100,MATCH("CurrencyTerminationTotals",'Sep12'!$A$1:$A$100,0),MATCH("Net Termination Exposure (Fav)/Unfav",'Sep12'!$A$4:$AX$4,0))</f>
        <v>0</v>
      </c>
      <c r="V11" s="219">
        <f>INDEX('Oct12'!$A$1:$AX$100,MATCH("CurrencyTerminationTotals",'Oct12'!$A$1:$A$100,0),MATCH("Net Termination Exposure (Fav)/Unfav",'Oct12'!$A$4:$AX$4,0))</f>
        <v>0</v>
      </c>
      <c r="W11" s="219">
        <f>INDEX('Nov12'!$A$1:$AX$100,MATCH("CurrencyTerminationTotals",'Nov12'!$A$1:$A$100,0),MATCH("Net Termination Exposure (Fav)/Unfav",'Nov12'!$A$4:$AX$4,0))</f>
        <v>0</v>
      </c>
      <c r="X11" s="219">
        <f>INDEX('Dec12'!$A$1:$AX$100,MATCH("CurrencyTerminationTotals",'Dec12'!$A$1:$A$100,0),MATCH("Net Termination Exposure (Fav)/Unfav",'Dec12'!$A$4:$AX$4,0))</f>
        <v>0</v>
      </c>
      <c r="Y11" s="219">
        <f>INDEX('Jan13'!$A$1:$AX$100,MATCH("CurrencyTerminationTotals",'Jan13'!$A$1:$A$100,0),MATCH("Net Termination Exposure (Fav)/Unfav",'Jan13'!$A$4:$AX$4,0))</f>
        <v>0</v>
      </c>
      <c r="Z11" s="219">
        <f>INDEX('Feb13'!$A$1:$AX$100,MATCH("CurrencyTerminationTotals",'Feb13'!$A$1:$A$100,0),MATCH("Net Termination Exposure (Fav)/Unfav",'Feb13'!$A$4:$AX$4,0))</f>
        <v>0</v>
      </c>
      <c r="AA11" s="219">
        <f>INDEX('Mar13'!$A$1:$AX$100,MATCH("CurrencyTerminationTotals",'Mar13'!$A$1:$A$100,0),MATCH("Net Termination Exposure (Fav)/Unfav",'Mar13'!$A$4:$AX$4,0))</f>
        <v>0</v>
      </c>
      <c r="AB11" s="219">
        <f>INDEX('Apr13'!$A$1:$AX$100,MATCH("CurrencyTerminationTotals",'Apr13'!$A$1:$A$100,0),MATCH("Net Termination Exposure (Fav)/Unfav",'Apr13'!$A$4:$AX$4,0))</f>
        <v>0</v>
      </c>
      <c r="AC11" s="219">
        <f>INDEX('May13'!$A$1:$AX$100,MATCH("CurrencyTerminationTotals",'May13'!$A$1:$A$100,0),MATCH("Net Termination Exposure (Fav)/Unfav",'May13'!$A$4:$AX$4,0))</f>
        <v>0</v>
      </c>
      <c r="AD11" s="219">
        <f>INDEX('Jun13'!$A$1:$AX$100,MATCH("CurrencyTerminationTotals",'Jun13'!$A$1:$A$100,0),MATCH("Net Termination Exposure (Fav)/Unfav",'Jun13'!$A$4:$AX$4,0))</f>
        <v>0</v>
      </c>
      <c r="AE11" s="219">
        <f>INDEX('Jul13'!$A$1:$AX$100,MATCH("CurrencyTerminationTotals",'Jul13'!$A$1:$A$100,0),MATCH("Net Termination Exposure (Fav)/Unfav",'Jul13'!$A$4:$AX$4,0))</f>
        <v>0</v>
      </c>
      <c r="AF11" s="219">
        <f>INDEX('Aug13'!$A$1:$AX$100,MATCH("CurrencyTerminationTotals",'Aug13'!$A$1:$A$100,0),MATCH("Net Termination Exposure (Fav)/Unfav",'Aug13'!$A$4:$AX$4,0))</f>
        <v>0</v>
      </c>
      <c r="AG11">
        <f>INDEX('Sep13'!$A$1:$AX$100,MATCH("CurrencyTerminationTotals",'Sep13'!$A$1:$A$100,0),MATCH("Net Termination Exposure (Fav)/Unfav",'Sep13'!$A$4:$AX$4,0))</f>
        <v>0</v>
      </c>
      <c r="AH11">
        <f>INDEX('Oct13'!$A$1:$AX$100,MATCH("CurrencyTerminationTotals",'Oct13'!$A$1:$A$100,0),MATCH("Net Termination Exposure (Fav)/Unfav",'Oct13'!$A$4:$AX$4,0))</f>
        <v>0</v>
      </c>
      <c r="AI11">
        <f>INDEX('Nov13'!$A$1:$AX$100,MATCH("CurrencyTerminationTotals",'Nov13'!$A$1:$A$100,0),MATCH("Net Termination Exposure (Fav)/Unfav",'Nov13'!$A$4:$AX$4,0))</f>
        <v>0</v>
      </c>
      <c r="AJ11">
        <f>INDEX('Dec13'!$A$1:$AX$100,MATCH("CurrencyTerminationTotals",'Dec13'!$A$1:$A$100,0),MATCH("Net Termination Exposure (Fav)/Unfav",'Dec13'!$A$4:$AX$4,0))</f>
        <v>0</v>
      </c>
      <c r="AK11">
        <f>INDEX('Jan14'!$A$1:$AX$100,MATCH("CurrencyTerminationTotals",'Jan14'!$A$1:$A$100,0),MATCH("Net Termination Exposure (Fav)/Unfav",'Jan14'!$A$4:$AX$4,0))</f>
        <v>0</v>
      </c>
      <c r="AL11">
        <f>INDEX('Feb14'!$A$1:$AX$100,MATCH("CurrencyTerminationTotals",'Feb14'!$A$1:$A$100,0),MATCH("Net Termination Exposure (Fav)/Unfav",'Feb14'!$A$4:$AX$4,0))</f>
        <v>0</v>
      </c>
      <c r="AM11">
        <f>INDEX('Mar14'!$A$1:$AX$100,MATCH("CurrencyTerminationTotals",'Mar14'!$A$1:$A$100,0),MATCH("Net Termination Exposure (Fav)/Unfav",'Mar14'!$A$4:$AX$4,0))</f>
        <v>0</v>
      </c>
      <c r="AN11">
        <f>INDEX('Apr14'!$A$1:$AX$100,MATCH("CurrencyTerminationTotals",'Apr14'!$A$1:$A$100,0),MATCH("Net Termination Exposure (Fav)/Unfav",'Apr14'!$A$4:$AX$4,0))</f>
        <v>0</v>
      </c>
      <c r="AO11" t="e">
        <f>INDEX(#REF!,MATCH("CurrencyTerminationTotals",#REF!,0),MATCH("Net Termination Exposure (Fav)/Unfav",#REF!,0))</f>
        <v>#REF!</v>
      </c>
      <c r="AP11" t="e">
        <f>INDEX(#REF!,MATCH("CurrencyTerminationTotals",#REF!,0),MATCH("Net Termination Exposure (Fav)/Unfav",#REF!,0))</f>
        <v>#REF!</v>
      </c>
      <c r="AQ11" s="612">
        <f>INDEX('May14'!$A$1:$AX$100,MATCH("CurrencyTerminationTotals",'May14'!$A$1:$A$100,0),MATCH("Net Termination Exposure (Fav)/Unfav",'May14'!$A$4:$AX$4,0))-0.01</f>
        <v>-0.01</v>
      </c>
    </row>
    <row r="12" spans="2:43" ht="15" x14ac:dyDescent="0.25">
      <c r="B12" s="9" t="s">
        <v>106</v>
      </c>
      <c r="C12" s="73">
        <f t="shared" ref="C12:L12" si="5">SUM(C5:C11)</f>
        <v>47.990122</v>
      </c>
      <c r="D12" s="73">
        <f t="shared" si="5"/>
        <v>41.286739160000003</v>
      </c>
      <c r="E12" s="73">
        <f t="shared" si="5"/>
        <v>36.653282850000004</v>
      </c>
      <c r="F12" s="73">
        <f t="shared" ca="1" si="5"/>
        <v>38.831789810000004</v>
      </c>
      <c r="G12" s="73">
        <f t="shared" ca="1" si="5"/>
        <v>44.057846095000052</v>
      </c>
      <c r="H12" s="73">
        <f t="shared" ca="1" si="5"/>
        <v>45.839216100000002</v>
      </c>
      <c r="I12" s="73">
        <f t="shared" ca="1" si="5"/>
        <v>50.455395624000005</v>
      </c>
      <c r="J12" s="73">
        <f t="shared" ca="1" si="5"/>
        <v>49.079107256</v>
      </c>
      <c r="K12" s="73">
        <f t="shared" ca="1" si="5"/>
        <v>52.47</v>
      </c>
      <c r="L12" s="73">
        <f t="shared" ca="1" si="5"/>
        <v>57.835258000000003</v>
      </c>
      <c r="M12" s="73">
        <f t="shared" ref="M12" ca="1" si="6">SUM(M5:M11)</f>
        <v>62.64</v>
      </c>
      <c r="N12" s="73">
        <f t="shared" ref="N12" ca="1" si="7">SUM(N5:N11)</f>
        <v>55.679999999999993</v>
      </c>
      <c r="O12" s="73">
        <f t="shared" ref="O12" ca="1" si="8">SUM(O5:O11)</f>
        <v>54.28</v>
      </c>
      <c r="P12" s="73">
        <f t="shared" ref="P12" ca="1" si="9">SUM(P5:P11)</f>
        <v>54.59255499999999</v>
      </c>
      <c r="Q12" s="73">
        <f t="shared" ref="Q12" ca="1" si="10">SUM(Q5:Q11)</f>
        <v>55.774999999999991</v>
      </c>
      <c r="R12" s="73">
        <v>51.971442090000004</v>
      </c>
      <c r="S12" s="73">
        <v>50.995299999999993</v>
      </c>
      <c r="T12" s="73">
        <f t="shared" ref="T12:Y12" si="11">SUM(T5:T11)</f>
        <v>51.572707178000002</v>
      </c>
      <c r="U12" s="73">
        <f t="shared" si="11"/>
        <v>44.697743293999999</v>
      </c>
      <c r="V12" s="73">
        <f t="shared" si="11"/>
        <v>44.420670027</v>
      </c>
      <c r="W12" s="73">
        <f t="shared" si="11"/>
        <v>44.902799315999999</v>
      </c>
      <c r="X12" s="73">
        <f t="shared" si="11"/>
        <v>44.258559590000004</v>
      </c>
      <c r="Y12" s="73">
        <f t="shared" si="11"/>
        <v>40.598715580000004</v>
      </c>
      <c r="Z12" s="73">
        <f t="shared" ref="Z12:AE12" si="12">SUM(Z5:Z11)</f>
        <v>37.671389572999999</v>
      </c>
      <c r="AA12" s="73">
        <f t="shared" si="12"/>
        <v>34.683884470000002</v>
      </c>
      <c r="AB12" s="73">
        <f t="shared" si="12"/>
        <v>33.749579760000003</v>
      </c>
      <c r="AC12" s="73">
        <f t="shared" si="12"/>
        <v>31.470425980000002</v>
      </c>
      <c r="AD12" s="73">
        <f t="shared" si="12"/>
        <v>30.524330645999999</v>
      </c>
      <c r="AE12" s="73">
        <f t="shared" si="12"/>
        <v>31.36427913</v>
      </c>
      <c r="AF12" s="73">
        <f t="shared" ref="AF12:AK12" si="13">SUM(AF5:AF11)</f>
        <v>26.293560514999999</v>
      </c>
      <c r="AG12">
        <f t="shared" si="13"/>
        <v>27.994452455999998</v>
      </c>
      <c r="AH12">
        <f t="shared" si="13"/>
        <v>29.919900576</v>
      </c>
      <c r="AI12">
        <f t="shared" si="13"/>
        <v>26.727431855999999</v>
      </c>
      <c r="AJ12">
        <f t="shared" si="13"/>
        <v>24.381417836000001</v>
      </c>
      <c r="AK12">
        <f t="shared" si="13"/>
        <v>26.583780865999998</v>
      </c>
      <c r="AL12">
        <f t="shared" ref="AL12:AQ12" si="14">SUM(AL5:AL11)</f>
        <v>23.563056036000003</v>
      </c>
      <c r="AM12">
        <f t="shared" si="14"/>
        <v>21.015389016</v>
      </c>
      <c r="AN12">
        <f t="shared" si="14"/>
        <v>21.588107856000001</v>
      </c>
      <c r="AO12" t="e">
        <f t="shared" si="14"/>
        <v>#REF!</v>
      </c>
      <c r="AP12" t="e">
        <f t="shared" si="14"/>
        <v>#REF!</v>
      </c>
      <c r="AQ12">
        <f t="shared" si="14"/>
        <v>22.389879000000001</v>
      </c>
    </row>
    <row r="15" spans="2:43" x14ac:dyDescent="0.25">
      <c r="B15" s="888" t="s">
        <v>140</v>
      </c>
      <c r="C15" s="888"/>
      <c r="D15" s="888"/>
      <c r="E15" s="888"/>
      <c r="F15" s="888"/>
      <c r="G15" s="888"/>
      <c r="H15" s="888"/>
      <c r="I15" s="888"/>
      <c r="J15" s="888"/>
      <c r="K15" s="888"/>
      <c r="L15" s="888"/>
      <c r="M15" s="888"/>
      <c r="N15" s="888"/>
    </row>
    <row r="16" spans="2:43" x14ac:dyDescent="0.25">
      <c r="B16" s="347" t="s">
        <v>318</v>
      </c>
      <c r="C16" s="347"/>
      <c r="D16" s="172"/>
      <c r="E16" s="172"/>
      <c r="F16" s="172"/>
      <c r="G16" s="172"/>
      <c r="H16" s="172"/>
      <c r="I16" s="172"/>
      <c r="J16" s="172"/>
      <c r="K16" s="172"/>
      <c r="L16" s="172"/>
      <c r="M16" s="172"/>
      <c r="N16" s="172"/>
    </row>
    <row r="17" spans="1:13" ht="34.5" customHeight="1" x14ac:dyDescent="0.25">
      <c r="B17" s="23" t="s">
        <v>0</v>
      </c>
      <c r="C17" s="24" t="s">
        <v>108</v>
      </c>
      <c r="D17" s="24" t="s">
        <v>109</v>
      </c>
      <c r="E17" s="23" t="s">
        <v>173</v>
      </c>
      <c r="F17" s="23" t="s">
        <v>106</v>
      </c>
      <c r="G17" s="24" t="s">
        <v>110</v>
      </c>
      <c r="H17" t="s">
        <v>237</v>
      </c>
    </row>
    <row r="18" spans="1:13" x14ac:dyDescent="0.25">
      <c r="H18" s="546">
        <v>110.75</v>
      </c>
    </row>
    <row r="19" spans="1:13" x14ac:dyDescent="0.25">
      <c r="B19" t="s">
        <v>354</v>
      </c>
      <c r="C19" s="217"/>
      <c r="D19" s="226">
        <v>2.19</v>
      </c>
      <c r="E19" s="217"/>
      <c r="F19" s="195">
        <f>SUM(C19:E19)</f>
        <v>2.19</v>
      </c>
      <c r="G19" s="194">
        <f>IF($F$26=0,"Blank",+F19/$F$26)</f>
        <v>1.0173743380098486E-2</v>
      </c>
      <c r="H19" s="293">
        <f>+F26</f>
        <v>215.26</v>
      </c>
    </row>
    <row r="20" spans="1:13" x14ac:dyDescent="0.25">
      <c r="A20" s="474" t="s">
        <v>319</v>
      </c>
      <c r="B20" s="474" t="s">
        <v>92</v>
      </c>
      <c r="C20" s="217"/>
      <c r="D20" s="536">
        <v>2.71</v>
      </c>
      <c r="E20" s="217"/>
      <c r="F20" s="195">
        <f t="shared" ref="F20:F23" si="15">SUM(C20:E20)</f>
        <v>2.71</v>
      </c>
      <c r="G20" s="194">
        <f t="shared" ref="G20:G25" si="16">IF($F$26=0,"Blank",+F20/$F$26)</f>
        <v>1.2589426739756574E-2</v>
      </c>
      <c r="H20" s="294">
        <f>+H18/H19</f>
        <v>0.5144941001579485</v>
      </c>
    </row>
    <row r="21" spans="1:13" x14ac:dyDescent="0.25">
      <c r="B21" t="s">
        <v>194</v>
      </c>
      <c r="C21" s="217">
        <v>23.18</v>
      </c>
      <c r="D21" s="217"/>
      <c r="E21" s="217"/>
      <c r="F21" s="195">
        <f t="shared" si="15"/>
        <v>23.18</v>
      </c>
      <c r="G21" s="194">
        <f t="shared" si="16"/>
        <v>0.10768373130168168</v>
      </c>
      <c r="I21" s="22"/>
    </row>
    <row r="22" spans="1:13" x14ac:dyDescent="0.25">
      <c r="B22" t="s">
        <v>11</v>
      </c>
      <c r="C22" s="217">
        <v>35.590000000000003</v>
      </c>
      <c r="D22" s="217"/>
      <c r="E22" s="217"/>
      <c r="F22" s="195">
        <f t="shared" si="15"/>
        <v>35.590000000000003</v>
      </c>
      <c r="G22" s="194">
        <f t="shared" si="16"/>
        <v>0.16533494378890645</v>
      </c>
    </row>
    <row r="23" spans="1:13" x14ac:dyDescent="0.25">
      <c r="B23" t="s">
        <v>1</v>
      </c>
      <c r="C23" s="217">
        <v>134.35</v>
      </c>
      <c r="D23" s="217"/>
      <c r="E23" s="217"/>
      <c r="F23" s="195">
        <f t="shared" si="15"/>
        <v>134.35</v>
      </c>
      <c r="G23" s="194">
        <f>IF($F$26=0,"Blank",+F23/$F$26)</f>
        <v>0.62412896032704634</v>
      </c>
    </row>
    <row r="24" spans="1:13" x14ac:dyDescent="0.25">
      <c r="A24" s="474" t="s">
        <v>320</v>
      </c>
      <c r="B24" s="473" t="s">
        <v>238</v>
      </c>
      <c r="C24" s="217"/>
      <c r="D24" s="226">
        <v>17.239999999999998</v>
      </c>
      <c r="E24" s="217"/>
      <c r="F24" s="195">
        <f>SUM(C24:E24)</f>
        <v>17.239999999999998</v>
      </c>
      <c r="G24" s="194">
        <f t="shared" si="16"/>
        <v>8.0089194462510449E-2</v>
      </c>
    </row>
    <row r="25" spans="1:13" ht="15" x14ac:dyDescent="0.4">
      <c r="C25" s="218"/>
      <c r="D25" s="219"/>
      <c r="E25" s="227"/>
      <c r="F25" s="196">
        <f>SUM(C25:E25)</f>
        <v>0</v>
      </c>
      <c r="G25" s="197">
        <f t="shared" si="16"/>
        <v>0</v>
      </c>
    </row>
    <row r="26" spans="1:13" ht="15" x14ac:dyDescent="0.4">
      <c r="B26" t="s">
        <v>106</v>
      </c>
      <c r="C26" s="268">
        <f>SUM(C19:C25)</f>
        <v>193.12</v>
      </c>
      <c r="D26" s="200">
        <f>SUM(D19:D25)</f>
        <v>22.14</v>
      </c>
      <c r="E26" s="200">
        <f t="shared" ref="E26:G26" si="17">SUM(E19:E25)</f>
        <v>0</v>
      </c>
      <c r="F26" s="200">
        <f t="shared" si="17"/>
        <v>215.26</v>
      </c>
      <c r="G26" s="201">
        <f t="shared" si="17"/>
        <v>1</v>
      </c>
      <c r="J26" s="545"/>
      <c r="K26" s="545"/>
      <c r="L26" s="545"/>
      <c r="M26" s="545"/>
    </row>
    <row r="27" spans="1:13" x14ac:dyDescent="0.25">
      <c r="J27" s="535" t="s">
        <v>348</v>
      </c>
      <c r="K27" s="535"/>
      <c r="L27" s="535"/>
      <c r="M27" s="535"/>
    </row>
    <row r="28" spans="1:13" x14ac:dyDescent="0.25">
      <c r="C28" s="892" t="s">
        <v>217</v>
      </c>
      <c r="D28" s="892"/>
      <c r="E28" s="892"/>
      <c r="F28" s="892"/>
      <c r="G28" s="892"/>
    </row>
    <row r="29" spans="1:13" x14ac:dyDescent="0.25">
      <c r="D29" s="215"/>
      <c r="H29" s="22"/>
    </row>
    <row r="30" spans="1:13" x14ac:dyDescent="0.25">
      <c r="G30" s="267"/>
      <c r="H30" s="22"/>
    </row>
    <row r="31" spans="1:13" x14ac:dyDescent="0.25">
      <c r="A31" s="474" t="s">
        <v>321</v>
      </c>
      <c r="H31" s="22"/>
    </row>
    <row r="32" spans="1:13" x14ac:dyDescent="0.25">
      <c r="A32" s="532" t="s">
        <v>322</v>
      </c>
      <c r="B32" s="532"/>
      <c r="C32" s="532"/>
    </row>
    <row r="68" spans="1:157" x14ac:dyDescent="0.25">
      <c r="FA68">
        <f ca="1">MATCH(CurrentMonth,A70:FA70,0)</f>
        <v>117</v>
      </c>
    </row>
    <row r="69" spans="1:157" ht="13.8" thickBot="1" x14ac:dyDescent="0.3">
      <c r="FA69" s="40">
        <v>41773</v>
      </c>
    </row>
    <row r="70" spans="1:157" s="345" customFormat="1" ht="13.8" thickBot="1" x14ac:dyDescent="0.3">
      <c r="A70" s="345" t="s">
        <v>303</v>
      </c>
      <c r="B70" s="365">
        <f t="shared" ref="B70:BM70" ca="1" si="18">OFFSET($C3,0,157-COLUMN(),)</f>
        <v>0</v>
      </c>
      <c r="C70" s="366">
        <f t="shared" ca="1" si="18"/>
        <v>0</v>
      </c>
      <c r="D70" s="366">
        <f t="shared" ca="1" si="18"/>
        <v>0</v>
      </c>
      <c r="E70" s="366">
        <f t="shared" ca="1" si="18"/>
        <v>0</v>
      </c>
      <c r="F70" s="366">
        <f t="shared" ca="1" si="18"/>
        <v>0</v>
      </c>
      <c r="G70" s="366">
        <f t="shared" ca="1" si="18"/>
        <v>0</v>
      </c>
      <c r="H70" s="366">
        <f t="shared" ca="1" si="18"/>
        <v>0</v>
      </c>
      <c r="I70" s="366">
        <f t="shared" ca="1" si="18"/>
        <v>0</v>
      </c>
      <c r="J70" s="366">
        <f t="shared" ca="1" si="18"/>
        <v>0</v>
      </c>
      <c r="K70" s="366">
        <f t="shared" ca="1" si="18"/>
        <v>0</v>
      </c>
      <c r="L70" s="366">
        <f t="shared" ca="1" si="18"/>
        <v>0</v>
      </c>
      <c r="M70" s="366">
        <f t="shared" ca="1" si="18"/>
        <v>0</v>
      </c>
      <c r="N70" s="366">
        <f t="shared" ca="1" si="18"/>
        <v>0</v>
      </c>
      <c r="O70" s="366">
        <f t="shared" ca="1" si="18"/>
        <v>0</v>
      </c>
      <c r="P70" s="366">
        <f t="shared" ca="1" si="18"/>
        <v>0</v>
      </c>
      <c r="Q70" s="366">
        <f t="shared" ca="1" si="18"/>
        <v>0</v>
      </c>
      <c r="R70" s="366">
        <f t="shared" ca="1" si="18"/>
        <v>0</v>
      </c>
      <c r="S70" s="366">
        <f t="shared" ca="1" si="18"/>
        <v>0</v>
      </c>
      <c r="T70" s="366">
        <f t="shared" ca="1" si="18"/>
        <v>0</v>
      </c>
      <c r="U70" s="366">
        <f t="shared" ca="1" si="18"/>
        <v>0</v>
      </c>
      <c r="V70" s="366">
        <f t="shared" ca="1" si="18"/>
        <v>0</v>
      </c>
      <c r="W70" s="366">
        <f t="shared" ca="1" si="18"/>
        <v>0</v>
      </c>
      <c r="X70" s="366">
        <f t="shared" ca="1" si="18"/>
        <v>0</v>
      </c>
      <c r="Y70" s="366">
        <f t="shared" ca="1" si="18"/>
        <v>0</v>
      </c>
      <c r="Z70" s="366">
        <f t="shared" ca="1" si="18"/>
        <v>0</v>
      </c>
      <c r="AA70" s="366">
        <f t="shared" ca="1" si="18"/>
        <v>0</v>
      </c>
      <c r="AB70" s="366">
        <f t="shared" ca="1" si="18"/>
        <v>0</v>
      </c>
      <c r="AC70" s="366">
        <f t="shared" ca="1" si="18"/>
        <v>0</v>
      </c>
      <c r="AD70" s="366">
        <f t="shared" ca="1" si="18"/>
        <v>0</v>
      </c>
      <c r="AE70" s="366">
        <f t="shared" ca="1" si="18"/>
        <v>0</v>
      </c>
      <c r="AF70" s="366">
        <f t="shared" ca="1" si="18"/>
        <v>0</v>
      </c>
      <c r="AG70" s="366">
        <f t="shared" ca="1" si="18"/>
        <v>0</v>
      </c>
      <c r="AH70" s="366">
        <f t="shared" ca="1" si="18"/>
        <v>0</v>
      </c>
      <c r="AI70" s="366">
        <f t="shared" ca="1" si="18"/>
        <v>0</v>
      </c>
      <c r="AJ70" s="366">
        <f t="shared" ca="1" si="18"/>
        <v>0</v>
      </c>
      <c r="AK70" s="366">
        <f t="shared" ca="1" si="18"/>
        <v>0</v>
      </c>
      <c r="AL70" s="366">
        <f t="shared" ca="1" si="18"/>
        <v>0</v>
      </c>
      <c r="AM70" s="366">
        <f t="shared" ca="1" si="18"/>
        <v>0</v>
      </c>
      <c r="AN70" s="366">
        <f t="shared" ca="1" si="18"/>
        <v>0</v>
      </c>
      <c r="AO70" s="366">
        <f t="shared" ca="1" si="18"/>
        <v>0</v>
      </c>
      <c r="AP70" s="366">
        <f t="shared" ca="1" si="18"/>
        <v>0</v>
      </c>
      <c r="AQ70" s="366">
        <f t="shared" ca="1" si="18"/>
        <v>0</v>
      </c>
      <c r="AR70" s="366">
        <f t="shared" ca="1" si="18"/>
        <v>0</v>
      </c>
      <c r="AS70" s="366">
        <f t="shared" ca="1" si="18"/>
        <v>0</v>
      </c>
      <c r="AT70" s="366">
        <f t="shared" ca="1" si="18"/>
        <v>0</v>
      </c>
      <c r="AU70" s="366">
        <f t="shared" ca="1" si="18"/>
        <v>0</v>
      </c>
      <c r="AV70" s="366">
        <f t="shared" ca="1" si="18"/>
        <v>0</v>
      </c>
      <c r="AW70" s="366">
        <f t="shared" ca="1" si="18"/>
        <v>0</v>
      </c>
      <c r="AX70" s="366">
        <f t="shared" ca="1" si="18"/>
        <v>0</v>
      </c>
      <c r="AY70" s="366">
        <f t="shared" ca="1" si="18"/>
        <v>0</v>
      </c>
      <c r="AZ70" s="366">
        <f t="shared" ca="1" si="18"/>
        <v>0</v>
      </c>
      <c r="BA70" s="366">
        <f t="shared" ca="1" si="18"/>
        <v>0</v>
      </c>
      <c r="BB70" s="366">
        <f t="shared" ca="1" si="18"/>
        <v>0</v>
      </c>
      <c r="BC70" s="366">
        <f t="shared" ca="1" si="18"/>
        <v>0</v>
      </c>
      <c r="BD70" s="366">
        <f t="shared" ca="1" si="18"/>
        <v>0</v>
      </c>
      <c r="BE70" s="366">
        <f t="shared" ca="1" si="18"/>
        <v>0</v>
      </c>
      <c r="BF70" s="366">
        <f t="shared" ca="1" si="18"/>
        <v>0</v>
      </c>
      <c r="BG70" s="366">
        <f t="shared" ca="1" si="18"/>
        <v>0</v>
      </c>
      <c r="BH70" s="366">
        <f t="shared" ca="1" si="18"/>
        <v>0</v>
      </c>
      <c r="BI70" s="366">
        <f t="shared" ca="1" si="18"/>
        <v>0</v>
      </c>
      <c r="BJ70" s="366">
        <f t="shared" ca="1" si="18"/>
        <v>0</v>
      </c>
      <c r="BK70" s="366">
        <f t="shared" ca="1" si="18"/>
        <v>0</v>
      </c>
      <c r="BL70" s="366">
        <f t="shared" ca="1" si="18"/>
        <v>0</v>
      </c>
      <c r="BM70" s="366">
        <f t="shared" ca="1" si="18"/>
        <v>0</v>
      </c>
      <c r="BN70" s="366">
        <f t="shared" ref="BN70:DQ70" ca="1" si="19">OFFSET($C3,0,157-COLUMN(),)</f>
        <v>0</v>
      </c>
      <c r="BO70" s="366">
        <f t="shared" ca="1" si="19"/>
        <v>0</v>
      </c>
      <c r="BP70" s="366">
        <f t="shared" ca="1" si="19"/>
        <v>0</v>
      </c>
      <c r="BQ70" s="366">
        <f t="shared" ca="1" si="19"/>
        <v>0</v>
      </c>
      <c r="BR70" s="366">
        <f t="shared" ca="1" si="19"/>
        <v>0</v>
      </c>
      <c r="BS70" s="366">
        <f t="shared" ca="1" si="19"/>
        <v>0</v>
      </c>
      <c r="BT70" s="366">
        <f t="shared" ca="1" si="19"/>
        <v>0</v>
      </c>
      <c r="BU70" s="366">
        <f t="shared" ca="1" si="19"/>
        <v>0</v>
      </c>
      <c r="BV70" s="366">
        <f t="shared" ca="1" si="19"/>
        <v>0</v>
      </c>
      <c r="BW70" s="366">
        <f t="shared" ca="1" si="19"/>
        <v>0</v>
      </c>
      <c r="BX70" s="366">
        <f t="shared" ca="1" si="19"/>
        <v>0</v>
      </c>
      <c r="BY70" s="366">
        <f t="shared" ca="1" si="19"/>
        <v>0</v>
      </c>
      <c r="BZ70" s="366">
        <f t="shared" ca="1" si="19"/>
        <v>0</v>
      </c>
      <c r="CA70" s="366">
        <f t="shared" ca="1" si="19"/>
        <v>0</v>
      </c>
      <c r="CB70" s="366">
        <f t="shared" ca="1" si="19"/>
        <v>0</v>
      </c>
      <c r="CC70" s="366">
        <f t="shared" ca="1" si="19"/>
        <v>0</v>
      </c>
      <c r="CD70" s="366">
        <f t="shared" ca="1" si="19"/>
        <v>0</v>
      </c>
      <c r="CE70" s="366">
        <f t="shared" ca="1" si="19"/>
        <v>0</v>
      </c>
      <c r="CF70" s="366">
        <f t="shared" ca="1" si="19"/>
        <v>0</v>
      </c>
      <c r="CG70" s="366">
        <f t="shared" ca="1" si="19"/>
        <v>0</v>
      </c>
      <c r="CH70" s="366">
        <f t="shared" ca="1" si="19"/>
        <v>0</v>
      </c>
      <c r="CI70" s="366">
        <f t="shared" ca="1" si="19"/>
        <v>0</v>
      </c>
      <c r="CJ70" s="366">
        <f t="shared" ca="1" si="19"/>
        <v>0</v>
      </c>
      <c r="CK70" s="366">
        <f t="shared" ca="1" si="19"/>
        <v>0</v>
      </c>
      <c r="CL70" s="366">
        <f t="shared" ca="1" si="19"/>
        <v>0</v>
      </c>
      <c r="CM70" s="366">
        <f t="shared" ca="1" si="19"/>
        <v>0</v>
      </c>
      <c r="CN70" s="366">
        <f t="shared" ca="1" si="19"/>
        <v>0</v>
      </c>
      <c r="CO70" s="366">
        <f t="shared" ca="1" si="19"/>
        <v>0</v>
      </c>
      <c r="CP70" s="366">
        <f t="shared" ca="1" si="19"/>
        <v>0</v>
      </c>
      <c r="CQ70" s="366">
        <f t="shared" ca="1" si="19"/>
        <v>0</v>
      </c>
      <c r="CR70" s="366">
        <f t="shared" ca="1" si="19"/>
        <v>0</v>
      </c>
      <c r="CS70" s="366">
        <f t="shared" ca="1" si="19"/>
        <v>0</v>
      </c>
      <c r="CT70" s="366">
        <f t="shared" ca="1" si="19"/>
        <v>0</v>
      </c>
      <c r="CU70" s="366">
        <f t="shared" ca="1" si="19"/>
        <v>0</v>
      </c>
      <c r="CV70" s="366">
        <f t="shared" ca="1" si="19"/>
        <v>0</v>
      </c>
      <c r="CW70" s="366">
        <f t="shared" ca="1" si="19"/>
        <v>0</v>
      </c>
      <c r="CX70" s="366">
        <f t="shared" ca="1" si="19"/>
        <v>0</v>
      </c>
      <c r="CY70" s="366">
        <f t="shared" ca="1" si="19"/>
        <v>0</v>
      </c>
      <c r="CZ70" s="366">
        <f t="shared" ca="1" si="19"/>
        <v>0</v>
      </c>
      <c r="DA70" s="366">
        <f t="shared" ca="1" si="19"/>
        <v>0</v>
      </c>
      <c r="DB70" s="366">
        <f t="shared" ca="1" si="19"/>
        <v>0</v>
      </c>
      <c r="DC70" s="366">
        <f t="shared" ca="1" si="19"/>
        <v>0</v>
      </c>
      <c r="DD70" s="366">
        <f t="shared" ca="1" si="19"/>
        <v>0</v>
      </c>
      <c r="DE70" s="366">
        <f t="shared" ca="1" si="19"/>
        <v>0</v>
      </c>
      <c r="DF70" s="366">
        <f t="shared" ca="1" si="19"/>
        <v>0</v>
      </c>
      <c r="DG70" s="366">
        <f t="shared" ca="1" si="19"/>
        <v>0</v>
      </c>
      <c r="DH70" s="366">
        <f t="shared" ca="1" si="19"/>
        <v>0</v>
      </c>
      <c r="DI70" s="366">
        <f t="shared" ca="1" si="19"/>
        <v>0</v>
      </c>
      <c r="DJ70" s="366">
        <f t="shared" ca="1" si="19"/>
        <v>0</v>
      </c>
      <c r="DK70" s="366">
        <f t="shared" ca="1" si="19"/>
        <v>0</v>
      </c>
      <c r="DL70" s="366">
        <f t="shared" ca="1" si="19"/>
        <v>0</v>
      </c>
      <c r="DM70" s="366">
        <f t="shared" ca="1" si="19"/>
        <v>41773</v>
      </c>
      <c r="DN70" s="366">
        <f t="shared" ca="1" si="19"/>
        <v>41773</v>
      </c>
      <c r="DO70" s="366">
        <f t="shared" ca="1" si="19"/>
        <v>41773</v>
      </c>
      <c r="DP70" s="366">
        <f t="shared" ca="1" si="19"/>
        <v>41743</v>
      </c>
      <c r="DQ70" s="366">
        <f t="shared" ca="1" si="19"/>
        <v>41712</v>
      </c>
      <c r="DR70" s="366">
        <f ca="1">OFFSET($C3,0,157-COLUMN(),)</f>
        <v>41684</v>
      </c>
      <c r="DS70" s="366">
        <f t="shared" ref="DS70:FA77" ca="1" si="20">OFFSET($C3,0,157-COLUMN(),)</f>
        <v>41653</v>
      </c>
      <c r="DT70" s="366">
        <f t="shared" ca="1" si="20"/>
        <v>41621</v>
      </c>
      <c r="DU70" s="366">
        <f t="shared" ca="1" si="20"/>
        <v>41591</v>
      </c>
      <c r="DV70" s="366">
        <f t="shared" ca="1" si="20"/>
        <v>41560</v>
      </c>
      <c r="DW70" s="366">
        <f t="shared" ca="1" si="20"/>
        <v>41530</v>
      </c>
      <c r="DX70" s="366">
        <f t="shared" ca="1" si="20"/>
        <v>41499</v>
      </c>
      <c r="DY70" s="366">
        <f t="shared" ca="1" si="20"/>
        <v>41468</v>
      </c>
      <c r="DZ70" s="366">
        <f t="shared" ca="1" si="20"/>
        <v>41438</v>
      </c>
      <c r="EA70" s="366">
        <f t="shared" ca="1" si="20"/>
        <v>41407</v>
      </c>
      <c r="EB70" s="366">
        <f t="shared" ca="1" si="20"/>
        <v>41377</v>
      </c>
      <c r="EC70" s="366">
        <f t="shared" ca="1" si="20"/>
        <v>41346</v>
      </c>
      <c r="ED70" s="366">
        <f t="shared" ca="1" si="20"/>
        <v>41318</v>
      </c>
      <c r="EE70" s="366">
        <f t="shared" ca="1" si="20"/>
        <v>41287</v>
      </c>
      <c r="EF70" s="366">
        <f t="shared" ca="1" si="20"/>
        <v>41255</v>
      </c>
      <c r="EG70" s="366">
        <f t="shared" ca="1" si="20"/>
        <v>41225</v>
      </c>
      <c r="EH70" s="366">
        <f t="shared" ca="1" si="20"/>
        <v>41194</v>
      </c>
      <c r="EI70" s="366">
        <f t="shared" ref="EI70:EJ77" ca="1" si="21">OFFSET($C3,0,157-COLUMN(),)</f>
        <v>41164</v>
      </c>
      <c r="EJ70" s="366">
        <f t="shared" ca="1" si="21"/>
        <v>41133</v>
      </c>
      <c r="EK70" s="366">
        <f t="shared" ca="1" si="20"/>
        <v>41102</v>
      </c>
      <c r="EL70" s="366">
        <f t="shared" ca="1" si="20"/>
        <v>41072</v>
      </c>
      <c r="EM70" s="366">
        <f t="shared" ca="1" si="20"/>
        <v>41030</v>
      </c>
      <c r="EN70" s="366">
        <f t="shared" ca="1" si="20"/>
        <v>41000</v>
      </c>
      <c r="EO70" s="366">
        <f t="shared" ca="1" si="20"/>
        <v>40969</v>
      </c>
      <c r="EP70" s="366">
        <f t="shared" ca="1" si="20"/>
        <v>40940</v>
      </c>
      <c r="EQ70" s="366">
        <f t="shared" ca="1" si="20"/>
        <v>40909</v>
      </c>
      <c r="ER70" s="366">
        <f t="shared" ca="1" si="20"/>
        <v>40878</v>
      </c>
      <c r="ES70" s="366">
        <f t="shared" ca="1" si="20"/>
        <v>40848</v>
      </c>
      <c r="ET70" s="366">
        <f t="shared" ca="1" si="20"/>
        <v>40817</v>
      </c>
      <c r="EU70" s="366">
        <f t="shared" ca="1" si="20"/>
        <v>40787</v>
      </c>
      <c r="EV70" s="366">
        <f t="shared" ca="1" si="20"/>
        <v>40756</v>
      </c>
      <c r="EW70" s="366">
        <f t="shared" ca="1" si="20"/>
        <v>40725</v>
      </c>
      <c r="EX70" s="366">
        <f t="shared" ca="1" si="20"/>
        <v>40695</v>
      </c>
      <c r="EY70" s="366">
        <f t="shared" ca="1" si="20"/>
        <v>40664</v>
      </c>
      <c r="EZ70" s="366">
        <f t="shared" ca="1" si="20"/>
        <v>40634</v>
      </c>
      <c r="FA70" s="367">
        <f t="shared" ca="1" si="20"/>
        <v>40603</v>
      </c>
    </row>
    <row r="71" spans="1:157" s="195" customFormat="1" x14ac:dyDescent="0.25">
      <c r="A71" s="195">
        <f>B4</f>
        <v>0</v>
      </c>
      <c r="B71" s="355">
        <f t="shared" ref="B71:BM71" ca="1" si="22">OFFSET($C4,0,157-COLUMN(),)</f>
        <v>0</v>
      </c>
      <c r="C71" s="356">
        <f t="shared" ca="1" si="22"/>
        <v>0</v>
      </c>
      <c r="D71" s="356">
        <f t="shared" ca="1" si="22"/>
        <v>0</v>
      </c>
      <c r="E71" s="356">
        <f t="shared" ca="1" si="22"/>
        <v>0</v>
      </c>
      <c r="F71" s="356">
        <f t="shared" ca="1" si="22"/>
        <v>0</v>
      </c>
      <c r="G71" s="356">
        <f t="shared" ca="1" si="22"/>
        <v>0</v>
      </c>
      <c r="H71" s="356">
        <f t="shared" ca="1" si="22"/>
        <v>0</v>
      </c>
      <c r="I71" s="356">
        <f t="shared" ca="1" si="22"/>
        <v>0</v>
      </c>
      <c r="J71" s="356">
        <f t="shared" ca="1" si="22"/>
        <v>0</v>
      </c>
      <c r="K71" s="356">
        <f t="shared" ca="1" si="22"/>
        <v>0</v>
      </c>
      <c r="L71" s="356">
        <f t="shared" ca="1" si="22"/>
        <v>0</v>
      </c>
      <c r="M71" s="356">
        <f t="shared" ca="1" si="22"/>
        <v>0</v>
      </c>
      <c r="N71" s="356">
        <f t="shared" ca="1" si="22"/>
        <v>0</v>
      </c>
      <c r="O71" s="356">
        <f t="shared" ca="1" si="22"/>
        <v>0</v>
      </c>
      <c r="P71" s="356">
        <f t="shared" ca="1" si="22"/>
        <v>0</v>
      </c>
      <c r="Q71" s="356">
        <f t="shared" ca="1" si="22"/>
        <v>0</v>
      </c>
      <c r="R71" s="356">
        <f t="shared" ca="1" si="22"/>
        <v>0</v>
      </c>
      <c r="S71" s="356">
        <f t="shared" ca="1" si="22"/>
        <v>0</v>
      </c>
      <c r="T71" s="356">
        <f t="shared" ca="1" si="22"/>
        <v>0</v>
      </c>
      <c r="U71" s="356">
        <f t="shared" ca="1" si="22"/>
        <v>0</v>
      </c>
      <c r="V71" s="356">
        <f t="shared" ca="1" si="22"/>
        <v>0</v>
      </c>
      <c r="W71" s="356">
        <f t="shared" ca="1" si="22"/>
        <v>0</v>
      </c>
      <c r="X71" s="356">
        <f t="shared" ca="1" si="22"/>
        <v>0</v>
      </c>
      <c r="Y71" s="356">
        <f t="shared" ca="1" si="22"/>
        <v>0</v>
      </c>
      <c r="Z71" s="356">
        <f t="shared" ca="1" si="22"/>
        <v>0</v>
      </c>
      <c r="AA71" s="356">
        <f t="shared" ca="1" si="22"/>
        <v>0</v>
      </c>
      <c r="AB71" s="356">
        <f t="shared" ca="1" si="22"/>
        <v>0</v>
      </c>
      <c r="AC71" s="356">
        <f t="shared" ca="1" si="22"/>
        <v>0</v>
      </c>
      <c r="AD71" s="356">
        <f t="shared" ca="1" si="22"/>
        <v>0</v>
      </c>
      <c r="AE71" s="356">
        <f t="shared" ca="1" si="22"/>
        <v>0</v>
      </c>
      <c r="AF71" s="356">
        <f t="shared" ca="1" si="22"/>
        <v>0</v>
      </c>
      <c r="AG71" s="356">
        <f t="shared" ca="1" si="22"/>
        <v>0</v>
      </c>
      <c r="AH71" s="356">
        <f t="shared" ca="1" si="22"/>
        <v>0</v>
      </c>
      <c r="AI71" s="356">
        <f t="shared" ca="1" si="22"/>
        <v>0</v>
      </c>
      <c r="AJ71" s="356">
        <f t="shared" ca="1" si="22"/>
        <v>0</v>
      </c>
      <c r="AK71" s="356">
        <f t="shared" ca="1" si="22"/>
        <v>0</v>
      </c>
      <c r="AL71" s="356">
        <f t="shared" ca="1" si="22"/>
        <v>0</v>
      </c>
      <c r="AM71" s="356">
        <f t="shared" ca="1" si="22"/>
        <v>0</v>
      </c>
      <c r="AN71" s="356">
        <f t="shared" ca="1" si="22"/>
        <v>0</v>
      </c>
      <c r="AO71" s="356">
        <f t="shared" ca="1" si="22"/>
        <v>0</v>
      </c>
      <c r="AP71" s="356">
        <f t="shared" ca="1" si="22"/>
        <v>0</v>
      </c>
      <c r="AQ71" s="356">
        <f t="shared" ca="1" si="22"/>
        <v>0</v>
      </c>
      <c r="AR71" s="356">
        <f t="shared" ca="1" si="22"/>
        <v>0</v>
      </c>
      <c r="AS71" s="356">
        <f t="shared" ca="1" si="22"/>
        <v>0</v>
      </c>
      <c r="AT71" s="356">
        <f t="shared" ca="1" si="22"/>
        <v>0</v>
      </c>
      <c r="AU71" s="356">
        <f t="shared" ca="1" si="22"/>
        <v>0</v>
      </c>
      <c r="AV71" s="356">
        <f t="shared" ca="1" si="22"/>
        <v>0</v>
      </c>
      <c r="AW71" s="356">
        <f t="shared" ca="1" si="22"/>
        <v>0</v>
      </c>
      <c r="AX71" s="356">
        <f t="shared" ca="1" si="22"/>
        <v>0</v>
      </c>
      <c r="AY71" s="356">
        <f t="shared" ca="1" si="22"/>
        <v>0</v>
      </c>
      <c r="AZ71" s="356">
        <f t="shared" ca="1" si="22"/>
        <v>0</v>
      </c>
      <c r="BA71" s="356">
        <f t="shared" ca="1" si="22"/>
        <v>0</v>
      </c>
      <c r="BB71" s="356">
        <f t="shared" ca="1" si="22"/>
        <v>0</v>
      </c>
      <c r="BC71" s="356">
        <f t="shared" ca="1" si="22"/>
        <v>0</v>
      </c>
      <c r="BD71" s="356">
        <f t="shared" ca="1" si="22"/>
        <v>0</v>
      </c>
      <c r="BE71" s="356">
        <f t="shared" ca="1" si="22"/>
        <v>0</v>
      </c>
      <c r="BF71" s="356">
        <f t="shared" ca="1" si="22"/>
        <v>0</v>
      </c>
      <c r="BG71" s="356">
        <f t="shared" ca="1" si="22"/>
        <v>0</v>
      </c>
      <c r="BH71" s="356">
        <f t="shared" ca="1" si="22"/>
        <v>0</v>
      </c>
      <c r="BI71" s="356">
        <f t="shared" ca="1" si="22"/>
        <v>0</v>
      </c>
      <c r="BJ71" s="356">
        <f t="shared" ca="1" si="22"/>
        <v>0</v>
      </c>
      <c r="BK71" s="356">
        <f t="shared" ca="1" si="22"/>
        <v>0</v>
      </c>
      <c r="BL71" s="356">
        <f t="shared" ca="1" si="22"/>
        <v>0</v>
      </c>
      <c r="BM71" s="356">
        <f t="shared" ca="1" si="22"/>
        <v>0</v>
      </c>
      <c r="BN71" s="356">
        <f t="shared" ref="BN71:DQ71" ca="1" si="23">OFFSET($C4,0,157-COLUMN(),)</f>
        <v>0</v>
      </c>
      <c r="BO71" s="356">
        <f t="shared" ca="1" si="23"/>
        <v>0</v>
      </c>
      <c r="BP71" s="356">
        <f t="shared" ca="1" si="23"/>
        <v>0</v>
      </c>
      <c r="BQ71" s="356">
        <f t="shared" ca="1" si="23"/>
        <v>0</v>
      </c>
      <c r="BR71" s="356">
        <f t="shared" ca="1" si="23"/>
        <v>0</v>
      </c>
      <c r="BS71" s="356">
        <f t="shared" ca="1" si="23"/>
        <v>0</v>
      </c>
      <c r="BT71" s="356">
        <f t="shared" ca="1" si="23"/>
        <v>0</v>
      </c>
      <c r="BU71" s="356">
        <f t="shared" ca="1" si="23"/>
        <v>0</v>
      </c>
      <c r="BV71" s="356">
        <f t="shared" ca="1" si="23"/>
        <v>0</v>
      </c>
      <c r="BW71" s="356">
        <f t="shared" ca="1" si="23"/>
        <v>0</v>
      </c>
      <c r="BX71" s="356">
        <f t="shared" ca="1" si="23"/>
        <v>0</v>
      </c>
      <c r="BY71" s="356">
        <f t="shared" ca="1" si="23"/>
        <v>0</v>
      </c>
      <c r="BZ71" s="356">
        <f t="shared" ca="1" si="23"/>
        <v>0</v>
      </c>
      <c r="CA71" s="356">
        <f t="shared" ca="1" si="23"/>
        <v>0</v>
      </c>
      <c r="CB71" s="356">
        <f t="shared" ca="1" si="23"/>
        <v>0</v>
      </c>
      <c r="CC71" s="356">
        <f t="shared" ca="1" si="23"/>
        <v>0</v>
      </c>
      <c r="CD71" s="356">
        <f t="shared" ca="1" si="23"/>
        <v>0</v>
      </c>
      <c r="CE71" s="356">
        <f t="shared" ca="1" si="23"/>
        <v>0</v>
      </c>
      <c r="CF71" s="356">
        <f t="shared" ca="1" si="23"/>
        <v>0</v>
      </c>
      <c r="CG71" s="356">
        <f t="shared" ca="1" si="23"/>
        <v>0</v>
      </c>
      <c r="CH71" s="356">
        <f t="shared" ca="1" si="23"/>
        <v>0</v>
      </c>
      <c r="CI71" s="356">
        <f t="shared" ca="1" si="23"/>
        <v>0</v>
      </c>
      <c r="CJ71" s="356">
        <f t="shared" ca="1" si="23"/>
        <v>0</v>
      </c>
      <c r="CK71" s="356">
        <f t="shared" ca="1" si="23"/>
        <v>0</v>
      </c>
      <c r="CL71" s="356">
        <f t="shared" ca="1" si="23"/>
        <v>0</v>
      </c>
      <c r="CM71" s="356">
        <f t="shared" ca="1" si="23"/>
        <v>0</v>
      </c>
      <c r="CN71" s="356">
        <f t="shared" ca="1" si="23"/>
        <v>0</v>
      </c>
      <c r="CO71" s="356">
        <f t="shared" ca="1" si="23"/>
        <v>0</v>
      </c>
      <c r="CP71" s="356">
        <f t="shared" ca="1" si="23"/>
        <v>0</v>
      </c>
      <c r="CQ71" s="356">
        <f t="shared" ca="1" si="23"/>
        <v>0</v>
      </c>
      <c r="CR71" s="356">
        <f t="shared" ca="1" si="23"/>
        <v>0</v>
      </c>
      <c r="CS71" s="356">
        <f t="shared" ca="1" si="23"/>
        <v>0</v>
      </c>
      <c r="CT71" s="356">
        <f t="shared" ca="1" si="23"/>
        <v>0</v>
      </c>
      <c r="CU71" s="356">
        <f t="shared" ca="1" si="23"/>
        <v>0</v>
      </c>
      <c r="CV71" s="356">
        <f t="shared" ca="1" si="23"/>
        <v>0</v>
      </c>
      <c r="CW71" s="356">
        <f t="shared" ca="1" si="23"/>
        <v>0</v>
      </c>
      <c r="CX71" s="356">
        <f t="shared" ca="1" si="23"/>
        <v>0</v>
      </c>
      <c r="CY71" s="356">
        <f t="shared" ca="1" si="23"/>
        <v>0</v>
      </c>
      <c r="CZ71" s="356">
        <f t="shared" ca="1" si="23"/>
        <v>0</v>
      </c>
      <c r="DA71" s="356">
        <f t="shared" ca="1" si="23"/>
        <v>0</v>
      </c>
      <c r="DB71" s="356">
        <f t="shared" ca="1" si="23"/>
        <v>0</v>
      </c>
      <c r="DC71" s="356">
        <f t="shared" ca="1" si="23"/>
        <v>0</v>
      </c>
      <c r="DD71" s="356">
        <f t="shared" ca="1" si="23"/>
        <v>0</v>
      </c>
      <c r="DE71" s="356">
        <f t="shared" ca="1" si="23"/>
        <v>0</v>
      </c>
      <c r="DF71" s="356">
        <f t="shared" ca="1" si="23"/>
        <v>0</v>
      </c>
      <c r="DG71" s="356">
        <f t="shared" ca="1" si="23"/>
        <v>0</v>
      </c>
      <c r="DH71" s="356">
        <f t="shared" ca="1" si="23"/>
        <v>0</v>
      </c>
      <c r="DI71" s="356">
        <f t="shared" ca="1" si="23"/>
        <v>0</v>
      </c>
      <c r="DJ71" s="356">
        <f t="shared" ca="1" si="23"/>
        <v>0</v>
      </c>
      <c r="DK71" s="356">
        <f t="shared" ca="1" si="23"/>
        <v>0</v>
      </c>
      <c r="DL71" s="356">
        <f t="shared" ca="1" si="23"/>
        <v>0</v>
      </c>
      <c r="DM71" s="356" t="str">
        <f t="shared" ca="1" si="23"/>
        <v>Actual</v>
      </c>
      <c r="DN71" s="356" t="str">
        <f t="shared" ca="1" si="23"/>
        <v>Actual</v>
      </c>
      <c r="DO71" s="356" t="str">
        <f t="shared" ca="1" si="23"/>
        <v>Actual</v>
      </c>
      <c r="DP71" s="356" t="str">
        <f t="shared" ca="1" si="23"/>
        <v>Actual</v>
      </c>
      <c r="DQ71" s="356" t="str">
        <f t="shared" ca="1" si="23"/>
        <v>Actual</v>
      </c>
      <c r="DR71" s="356" t="str">
        <f t="shared" ref="DR71:EG77" ca="1" si="24">OFFSET($C4,0,157-COLUMN(),)</f>
        <v>Actual</v>
      </c>
      <c r="DS71" s="356" t="str">
        <f t="shared" ca="1" si="24"/>
        <v>Actual</v>
      </c>
      <c r="DT71" s="356" t="str">
        <f t="shared" ca="1" si="24"/>
        <v>Actual</v>
      </c>
      <c r="DU71" s="356" t="str">
        <f t="shared" ca="1" si="24"/>
        <v>Actual</v>
      </c>
      <c r="DV71" s="356" t="str">
        <f t="shared" ca="1" si="24"/>
        <v>Actual</v>
      </c>
      <c r="DW71" s="356" t="str">
        <f t="shared" ca="1" si="24"/>
        <v>Actual</v>
      </c>
      <c r="DX71" s="356" t="str">
        <f t="shared" ca="1" si="24"/>
        <v>Actual</v>
      </c>
      <c r="DY71" s="356" t="str">
        <f t="shared" ca="1" si="24"/>
        <v>Actual</v>
      </c>
      <c r="DZ71" s="356" t="str">
        <f t="shared" ca="1" si="24"/>
        <v>Actual</v>
      </c>
      <c r="EA71" s="356" t="str">
        <f t="shared" ca="1" si="24"/>
        <v>Actual</v>
      </c>
      <c r="EB71" s="356" t="str">
        <f t="shared" ca="1" si="24"/>
        <v>Actual</v>
      </c>
      <c r="EC71" s="356" t="str">
        <f t="shared" ca="1" si="24"/>
        <v>Actual</v>
      </c>
      <c r="ED71" s="356" t="str">
        <f t="shared" ca="1" si="24"/>
        <v>Actual</v>
      </c>
      <c r="EE71" s="356" t="str">
        <f t="shared" ca="1" si="24"/>
        <v>Actual</v>
      </c>
      <c r="EF71" s="356" t="str">
        <f t="shared" ca="1" si="24"/>
        <v>Actual</v>
      </c>
      <c r="EG71" s="356" t="str">
        <f t="shared" ca="1" si="24"/>
        <v>Actual</v>
      </c>
      <c r="EH71" s="356" t="str">
        <f t="shared" ca="1" si="20"/>
        <v>Actual</v>
      </c>
      <c r="EI71" s="356" t="str">
        <f t="shared" ca="1" si="21"/>
        <v>Actual</v>
      </c>
      <c r="EJ71" s="356" t="str">
        <f t="shared" ca="1" si="21"/>
        <v>Actual</v>
      </c>
      <c r="EK71" s="356" t="str">
        <f t="shared" ca="1" si="20"/>
        <v>Actual</v>
      </c>
      <c r="EL71" s="356" t="str">
        <f t="shared" ca="1" si="20"/>
        <v>Actual</v>
      </c>
      <c r="EM71" s="356" t="str">
        <f t="shared" ca="1" si="20"/>
        <v>Actual</v>
      </c>
      <c r="EN71" s="356" t="str">
        <f t="shared" ca="1" si="20"/>
        <v>Actual</v>
      </c>
      <c r="EO71" s="356" t="str">
        <f t="shared" ca="1" si="20"/>
        <v>Actual</v>
      </c>
      <c r="EP71" s="356" t="str">
        <f t="shared" ca="1" si="20"/>
        <v>Actual</v>
      </c>
      <c r="EQ71" s="356" t="str">
        <f t="shared" ca="1" si="20"/>
        <v>Actual</v>
      </c>
      <c r="ER71" s="356" t="str">
        <f t="shared" ca="1" si="20"/>
        <v>Actual</v>
      </c>
      <c r="ES71" s="356" t="str">
        <f t="shared" ca="1" si="20"/>
        <v>Actual</v>
      </c>
      <c r="ET71" s="356" t="str">
        <f t="shared" ca="1" si="20"/>
        <v>Actual</v>
      </c>
      <c r="EU71" s="356" t="str">
        <f t="shared" ca="1" si="20"/>
        <v>Actual</v>
      </c>
      <c r="EV71" s="356" t="str">
        <f t="shared" ca="1" si="20"/>
        <v>Actual</v>
      </c>
      <c r="EW71" s="356" t="str">
        <f t="shared" ca="1" si="20"/>
        <v>Actual</v>
      </c>
      <c r="EX71" s="356" t="str">
        <f t="shared" ca="1" si="20"/>
        <v>Actual</v>
      </c>
      <c r="EY71" s="356" t="str">
        <f t="shared" ca="1" si="20"/>
        <v>(Fixed)</v>
      </c>
      <c r="EZ71" s="356" t="str">
        <f t="shared" ca="1" si="20"/>
        <v>(Fixed)</v>
      </c>
      <c r="FA71" s="357" t="str">
        <f t="shared" ca="1" si="20"/>
        <v>(Fixed)</v>
      </c>
    </row>
    <row r="72" spans="1:157" s="195" customFormat="1" x14ac:dyDescent="0.25">
      <c r="A72" t="s">
        <v>27</v>
      </c>
      <c r="B72" s="358">
        <f t="shared" ref="B72:BM72" ca="1" si="25">OFFSET($C5,0,157-COLUMN(),)</f>
        <v>0</v>
      </c>
      <c r="C72" s="359">
        <f t="shared" ca="1" si="25"/>
        <v>0</v>
      </c>
      <c r="D72" s="359">
        <f t="shared" ca="1" si="25"/>
        <v>0</v>
      </c>
      <c r="E72" s="359">
        <f t="shared" ca="1" si="25"/>
        <v>0</v>
      </c>
      <c r="F72" s="359">
        <f t="shared" ca="1" si="25"/>
        <v>0</v>
      </c>
      <c r="G72" s="359">
        <f t="shared" ca="1" si="25"/>
        <v>0</v>
      </c>
      <c r="H72" s="359">
        <f t="shared" ca="1" si="25"/>
        <v>0</v>
      </c>
      <c r="I72" s="359">
        <f t="shared" ca="1" si="25"/>
        <v>0</v>
      </c>
      <c r="J72" s="359">
        <f t="shared" ca="1" si="25"/>
        <v>0</v>
      </c>
      <c r="K72" s="359">
        <f t="shared" ca="1" si="25"/>
        <v>0</v>
      </c>
      <c r="L72" s="359">
        <f t="shared" ca="1" si="25"/>
        <v>0</v>
      </c>
      <c r="M72" s="359">
        <f t="shared" ca="1" si="25"/>
        <v>0</v>
      </c>
      <c r="N72" s="359">
        <f t="shared" ca="1" si="25"/>
        <v>0</v>
      </c>
      <c r="O72" s="359">
        <f t="shared" ca="1" si="25"/>
        <v>0</v>
      </c>
      <c r="P72" s="359">
        <f t="shared" ca="1" si="25"/>
        <v>0</v>
      </c>
      <c r="Q72" s="359">
        <f t="shared" ca="1" si="25"/>
        <v>0</v>
      </c>
      <c r="R72" s="359">
        <f t="shared" ca="1" si="25"/>
        <v>0</v>
      </c>
      <c r="S72" s="359">
        <f t="shared" ca="1" si="25"/>
        <v>0</v>
      </c>
      <c r="T72" s="359">
        <f t="shared" ca="1" si="25"/>
        <v>0</v>
      </c>
      <c r="U72" s="359">
        <f t="shared" ca="1" si="25"/>
        <v>0</v>
      </c>
      <c r="V72" s="359">
        <f t="shared" ca="1" si="25"/>
        <v>0</v>
      </c>
      <c r="W72" s="359">
        <f t="shared" ca="1" si="25"/>
        <v>0</v>
      </c>
      <c r="X72" s="359">
        <f t="shared" ca="1" si="25"/>
        <v>0</v>
      </c>
      <c r="Y72" s="359">
        <f t="shared" ca="1" si="25"/>
        <v>0</v>
      </c>
      <c r="Z72" s="359">
        <f t="shared" ca="1" si="25"/>
        <v>0</v>
      </c>
      <c r="AA72" s="359">
        <f t="shared" ca="1" si="25"/>
        <v>0</v>
      </c>
      <c r="AB72" s="359">
        <f t="shared" ca="1" si="25"/>
        <v>0</v>
      </c>
      <c r="AC72" s="359">
        <f t="shared" ca="1" si="25"/>
        <v>0</v>
      </c>
      <c r="AD72" s="359">
        <f t="shared" ca="1" si="25"/>
        <v>0</v>
      </c>
      <c r="AE72" s="359">
        <f t="shared" ca="1" si="25"/>
        <v>0</v>
      </c>
      <c r="AF72" s="359">
        <f t="shared" ca="1" si="25"/>
        <v>0</v>
      </c>
      <c r="AG72" s="359">
        <f t="shared" ca="1" si="25"/>
        <v>0</v>
      </c>
      <c r="AH72" s="359">
        <f t="shared" ca="1" si="25"/>
        <v>0</v>
      </c>
      <c r="AI72" s="359">
        <f t="shared" ca="1" si="25"/>
        <v>0</v>
      </c>
      <c r="AJ72" s="359">
        <f t="shared" ca="1" si="25"/>
        <v>0</v>
      </c>
      <c r="AK72" s="359">
        <f t="shared" ca="1" si="25"/>
        <v>0</v>
      </c>
      <c r="AL72" s="359">
        <f t="shared" ca="1" si="25"/>
        <v>0</v>
      </c>
      <c r="AM72" s="359">
        <f t="shared" ca="1" si="25"/>
        <v>0</v>
      </c>
      <c r="AN72" s="359">
        <f t="shared" ca="1" si="25"/>
        <v>0</v>
      </c>
      <c r="AO72" s="359">
        <f t="shared" ca="1" si="25"/>
        <v>0</v>
      </c>
      <c r="AP72" s="359">
        <f t="shared" ca="1" si="25"/>
        <v>0</v>
      </c>
      <c r="AQ72" s="359">
        <f t="shared" ca="1" si="25"/>
        <v>0</v>
      </c>
      <c r="AR72" s="359">
        <f t="shared" ca="1" si="25"/>
        <v>0</v>
      </c>
      <c r="AS72" s="359">
        <f t="shared" ca="1" si="25"/>
        <v>0</v>
      </c>
      <c r="AT72" s="359">
        <f t="shared" ca="1" si="25"/>
        <v>0</v>
      </c>
      <c r="AU72" s="359">
        <f t="shared" ca="1" si="25"/>
        <v>0</v>
      </c>
      <c r="AV72" s="359">
        <f t="shared" ca="1" si="25"/>
        <v>0</v>
      </c>
      <c r="AW72" s="359">
        <f t="shared" ca="1" si="25"/>
        <v>0</v>
      </c>
      <c r="AX72" s="359">
        <f t="shared" ca="1" si="25"/>
        <v>0</v>
      </c>
      <c r="AY72" s="359">
        <f t="shared" ca="1" si="25"/>
        <v>0</v>
      </c>
      <c r="AZ72" s="359">
        <f t="shared" ca="1" si="25"/>
        <v>0</v>
      </c>
      <c r="BA72" s="359">
        <f t="shared" ca="1" si="25"/>
        <v>0</v>
      </c>
      <c r="BB72" s="359">
        <f t="shared" ca="1" si="25"/>
        <v>0</v>
      </c>
      <c r="BC72" s="359">
        <f t="shared" ca="1" si="25"/>
        <v>0</v>
      </c>
      <c r="BD72" s="359">
        <f t="shared" ca="1" si="25"/>
        <v>0</v>
      </c>
      <c r="BE72" s="359">
        <f t="shared" ca="1" si="25"/>
        <v>0</v>
      </c>
      <c r="BF72" s="359">
        <f t="shared" ca="1" si="25"/>
        <v>0</v>
      </c>
      <c r="BG72" s="359">
        <f t="shared" ca="1" si="25"/>
        <v>0</v>
      </c>
      <c r="BH72" s="359">
        <f t="shared" ca="1" si="25"/>
        <v>0</v>
      </c>
      <c r="BI72" s="359">
        <f t="shared" ca="1" si="25"/>
        <v>0</v>
      </c>
      <c r="BJ72" s="359">
        <f t="shared" ca="1" si="25"/>
        <v>0</v>
      </c>
      <c r="BK72" s="359">
        <f t="shared" ca="1" si="25"/>
        <v>0</v>
      </c>
      <c r="BL72" s="359">
        <f t="shared" ca="1" si="25"/>
        <v>0</v>
      </c>
      <c r="BM72" s="359">
        <f t="shared" ca="1" si="25"/>
        <v>0</v>
      </c>
      <c r="BN72" s="359">
        <f t="shared" ref="BN72:DQ72" ca="1" si="26">OFFSET($C5,0,157-COLUMN(),)</f>
        <v>0</v>
      </c>
      <c r="BO72" s="359">
        <f t="shared" ca="1" si="26"/>
        <v>0</v>
      </c>
      <c r="BP72" s="359">
        <f t="shared" ca="1" si="26"/>
        <v>0</v>
      </c>
      <c r="BQ72" s="359">
        <f t="shared" ca="1" si="26"/>
        <v>0</v>
      </c>
      <c r="BR72" s="359">
        <f t="shared" ca="1" si="26"/>
        <v>0</v>
      </c>
      <c r="BS72" s="359">
        <f t="shared" ca="1" si="26"/>
        <v>0</v>
      </c>
      <c r="BT72" s="359">
        <f t="shared" ca="1" si="26"/>
        <v>0</v>
      </c>
      <c r="BU72" s="359">
        <f t="shared" ca="1" si="26"/>
        <v>0</v>
      </c>
      <c r="BV72" s="359">
        <f t="shared" ca="1" si="26"/>
        <v>0</v>
      </c>
      <c r="BW72" s="359">
        <f t="shared" ca="1" si="26"/>
        <v>0</v>
      </c>
      <c r="BX72" s="359">
        <f t="shared" ca="1" si="26"/>
        <v>0</v>
      </c>
      <c r="BY72" s="359">
        <f t="shared" ca="1" si="26"/>
        <v>0</v>
      </c>
      <c r="BZ72" s="359">
        <f t="shared" ca="1" si="26"/>
        <v>0</v>
      </c>
      <c r="CA72" s="359">
        <f t="shared" ca="1" si="26"/>
        <v>0</v>
      </c>
      <c r="CB72" s="359">
        <f t="shared" ca="1" si="26"/>
        <v>0</v>
      </c>
      <c r="CC72" s="359">
        <f t="shared" ca="1" si="26"/>
        <v>0</v>
      </c>
      <c r="CD72" s="359">
        <f t="shared" ca="1" si="26"/>
        <v>0</v>
      </c>
      <c r="CE72" s="359">
        <f t="shared" ca="1" si="26"/>
        <v>0</v>
      </c>
      <c r="CF72" s="359">
        <f t="shared" ca="1" si="26"/>
        <v>0</v>
      </c>
      <c r="CG72" s="359">
        <f t="shared" ca="1" si="26"/>
        <v>0</v>
      </c>
      <c r="CH72" s="359">
        <f t="shared" ca="1" si="26"/>
        <v>0</v>
      </c>
      <c r="CI72" s="359">
        <f t="shared" ca="1" si="26"/>
        <v>0</v>
      </c>
      <c r="CJ72" s="359">
        <f t="shared" ca="1" si="26"/>
        <v>0</v>
      </c>
      <c r="CK72" s="359">
        <f t="shared" ca="1" si="26"/>
        <v>0</v>
      </c>
      <c r="CL72" s="359">
        <f t="shared" ca="1" si="26"/>
        <v>0</v>
      </c>
      <c r="CM72" s="359">
        <f t="shared" ca="1" si="26"/>
        <v>0</v>
      </c>
      <c r="CN72" s="359">
        <f t="shared" ca="1" si="26"/>
        <v>0</v>
      </c>
      <c r="CO72" s="359">
        <f t="shared" ca="1" si="26"/>
        <v>0</v>
      </c>
      <c r="CP72" s="359">
        <f t="shared" ca="1" si="26"/>
        <v>0</v>
      </c>
      <c r="CQ72" s="359">
        <f t="shared" ca="1" si="26"/>
        <v>0</v>
      </c>
      <c r="CR72" s="359">
        <f t="shared" ca="1" si="26"/>
        <v>0</v>
      </c>
      <c r="CS72" s="359">
        <f t="shared" ca="1" si="26"/>
        <v>0</v>
      </c>
      <c r="CT72" s="359">
        <f t="shared" ca="1" si="26"/>
        <v>0</v>
      </c>
      <c r="CU72" s="359">
        <f t="shared" ca="1" si="26"/>
        <v>0</v>
      </c>
      <c r="CV72" s="359">
        <f t="shared" ca="1" si="26"/>
        <v>0</v>
      </c>
      <c r="CW72" s="359">
        <f t="shared" ca="1" si="26"/>
        <v>0</v>
      </c>
      <c r="CX72" s="359">
        <f t="shared" ca="1" si="26"/>
        <v>0</v>
      </c>
      <c r="CY72" s="359">
        <f t="shared" ca="1" si="26"/>
        <v>0</v>
      </c>
      <c r="CZ72" s="359">
        <f t="shared" ca="1" si="26"/>
        <v>0</v>
      </c>
      <c r="DA72" s="359">
        <f t="shared" ca="1" si="26"/>
        <v>0</v>
      </c>
      <c r="DB72" s="359">
        <f t="shared" ca="1" si="26"/>
        <v>0</v>
      </c>
      <c r="DC72" s="359">
        <f t="shared" ca="1" si="26"/>
        <v>0</v>
      </c>
      <c r="DD72" s="359">
        <f t="shared" ca="1" si="26"/>
        <v>0</v>
      </c>
      <c r="DE72" s="359">
        <f t="shared" ca="1" si="26"/>
        <v>0</v>
      </c>
      <c r="DF72" s="359">
        <f t="shared" ca="1" si="26"/>
        <v>0</v>
      </c>
      <c r="DG72" s="359">
        <f t="shared" ca="1" si="26"/>
        <v>0</v>
      </c>
      <c r="DH72" s="359">
        <f t="shared" ca="1" si="26"/>
        <v>0</v>
      </c>
      <c r="DI72" s="359">
        <f t="shared" ca="1" si="26"/>
        <v>0</v>
      </c>
      <c r="DJ72" s="359">
        <f t="shared" ca="1" si="26"/>
        <v>0</v>
      </c>
      <c r="DK72" s="359">
        <f t="shared" ca="1" si="26"/>
        <v>0</v>
      </c>
      <c r="DL72" s="359">
        <f t="shared" ca="1" si="26"/>
        <v>0</v>
      </c>
      <c r="DM72" s="359">
        <f t="shared" ca="1" si="26"/>
        <v>0</v>
      </c>
      <c r="DN72" s="359" t="e">
        <f t="shared" ca="1" si="26"/>
        <v>#REF!</v>
      </c>
      <c r="DO72" s="359" t="e">
        <f t="shared" ca="1" si="26"/>
        <v>#REF!</v>
      </c>
      <c r="DP72" s="359">
        <f t="shared" ca="1" si="26"/>
        <v>-1.7952399999999875E-4</v>
      </c>
      <c r="DQ72" s="359">
        <f t="shared" ca="1" si="26"/>
        <v>-1.7952399999999875E-4</v>
      </c>
      <c r="DR72" s="359">
        <f t="shared" ca="1" si="24"/>
        <v>-1.7952399999999875E-4</v>
      </c>
      <c r="DS72" s="359">
        <f t="shared" ca="1" si="20"/>
        <v>-1.7952399999999875E-4</v>
      </c>
      <c r="DT72" s="359">
        <f t="shared" ca="1" si="20"/>
        <v>-1.7952399999999875E-4</v>
      </c>
      <c r="DU72" s="359">
        <f t="shared" ca="1" si="20"/>
        <v>-1.7952399999999875E-4</v>
      </c>
      <c r="DV72" s="359">
        <f t="shared" ca="1" si="20"/>
        <v>-1.7952399999999875E-4</v>
      </c>
      <c r="DW72" s="359">
        <f t="shared" ca="1" si="20"/>
        <v>-1.7952399999999875E-4</v>
      </c>
      <c r="DX72" s="359">
        <f t="shared" ca="1" si="20"/>
        <v>0.10947640000000003</v>
      </c>
      <c r="DY72" s="359">
        <f t="shared" ca="1" si="20"/>
        <v>0.19509936</v>
      </c>
      <c r="DZ72" s="359">
        <f t="shared" ca="1" si="20"/>
        <v>0.154416796</v>
      </c>
      <c r="EA72" s="359">
        <f t="shared" ca="1" si="20"/>
        <v>7.9369820000000008E-2</v>
      </c>
      <c r="EB72" s="359">
        <f t="shared" ca="1" si="20"/>
        <v>5.833191999999994E-2</v>
      </c>
      <c r="EC72" s="359">
        <f t="shared" ca="1" si="20"/>
        <v>0.24697039999999992</v>
      </c>
      <c r="ED72" s="359">
        <f t="shared" ca="1" si="20"/>
        <v>0.42630398299999989</v>
      </c>
      <c r="EE72" s="359">
        <f t="shared" ca="1" si="20"/>
        <v>0.47790642999999999</v>
      </c>
      <c r="EF72" s="359">
        <f t="shared" ca="1" si="20"/>
        <v>0.25514600999999981</v>
      </c>
      <c r="EG72" s="359">
        <f t="shared" ca="1" si="20"/>
        <v>9.1277405999999478E-2</v>
      </c>
      <c r="EH72" s="359">
        <f t="shared" ca="1" si="20"/>
        <v>0.49491963700000002</v>
      </c>
      <c r="EI72" s="359">
        <f t="shared" ca="1" si="21"/>
        <v>0.62767627399999981</v>
      </c>
      <c r="EJ72" s="359">
        <f t="shared" ca="1" si="21"/>
        <v>1.0734038479999997</v>
      </c>
      <c r="EK72" s="359">
        <f t="shared" ca="1" si="20"/>
        <v>0.73</v>
      </c>
      <c r="EL72" s="359">
        <f t="shared" ca="1" si="20"/>
        <v>1.08</v>
      </c>
      <c r="EM72" s="359">
        <f t="shared" ca="1" si="20"/>
        <v>1.23</v>
      </c>
      <c r="EN72" s="359">
        <f t="shared" ca="1" si="20"/>
        <v>1.2</v>
      </c>
      <c r="EO72" s="359">
        <f t="shared" ca="1" si="20"/>
        <v>1.6</v>
      </c>
      <c r="EP72" s="359">
        <f t="shared" ca="1" si="20"/>
        <v>1.69</v>
      </c>
      <c r="EQ72" s="359">
        <f t="shared" ca="1" si="20"/>
        <v>1.96</v>
      </c>
      <c r="ER72" s="359">
        <f t="shared" ca="1" si="20"/>
        <v>0.76</v>
      </c>
      <c r="ES72" s="359">
        <f t="shared" ca="1" si="20"/>
        <v>0.21</v>
      </c>
      <c r="ET72" s="359">
        <f t="shared" ca="1" si="20"/>
        <v>-0.24150674399999997</v>
      </c>
      <c r="EU72" s="359">
        <f t="shared" ca="1" si="20"/>
        <v>-0.32609537599999983</v>
      </c>
      <c r="EV72" s="359">
        <f t="shared" ca="1" si="20"/>
        <v>-0.6486219000000002</v>
      </c>
      <c r="EW72" s="359">
        <f t="shared" ca="1" si="20"/>
        <v>-0.44425344000000067</v>
      </c>
      <c r="EX72" s="359">
        <f t="shared" ca="1" si="20"/>
        <v>-0.28201151999999979</v>
      </c>
      <c r="EY72" s="359">
        <f t="shared" ca="1" si="20"/>
        <v>-1.0569550000000001</v>
      </c>
      <c r="EZ72" s="359">
        <f t="shared" ca="1" si="20"/>
        <v>6.17</v>
      </c>
      <c r="FA72" s="360" t="str">
        <f t="shared" ca="1" si="20"/>
        <v xml:space="preserve"> </v>
      </c>
    </row>
    <row r="73" spans="1:157" s="195" customFormat="1" x14ac:dyDescent="0.25">
      <c r="A73" t="s">
        <v>128</v>
      </c>
      <c r="B73" s="358">
        <f t="shared" ref="B73:BM73" ca="1" si="27">OFFSET($C6,0,157-COLUMN(),)</f>
        <v>0</v>
      </c>
      <c r="C73" s="359">
        <f t="shared" ca="1" si="27"/>
        <v>0</v>
      </c>
      <c r="D73" s="359">
        <f t="shared" ca="1" si="27"/>
        <v>0</v>
      </c>
      <c r="E73" s="359">
        <f t="shared" ca="1" si="27"/>
        <v>0</v>
      </c>
      <c r="F73" s="359">
        <f t="shared" ca="1" si="27"/>
        <v>0</v>
      </c>
      <c r="G73" s="359">
        <f t="shared" ca="1" si="27"/>
        <v>0</v>
      </c>
      <c r="H73" s="359">
        <f t="shared" ca="1" si="27"/>
        <v>0</v>
      </c>
      <c r="I73" s="359">
        <f t="shared" ca="1" si="27"/>
        <v>0</v>
      </c>
      <c r="J73" s="359">
        <f t="shared" ca="1" si="27"/>
        <v>0</v>
      </c>
      <c r="K73" s="359">
        <f t="shared" ca="1" si="27"/>
        <v>0</v>
      </c>
      <c r="L73" s="359">
        <f t="shared" ca="1" si="27"/>
        <v>0</v>
      </c>
      <c r="M73" s="359">
        <f t="shared" ca="1" si="27"/>
        <v>0</v>
      </c>
      <c r="N73" s="359">
        <f t="shared" ca="1" si="27"/>
        <v>0</v>
      </c>
      <c r="O73" s="359">
        <f t="shared" ca="1" si="27"/>
        <v>0</v>
      </c>
      <c r="P73" s="359">
        <f t="shared" ca="1" si="27"/>
        <v>0</v>
      </c>
      <c r="Q73" s="359">
        <f t="shared" ca="1" si="27"/>
        <v>0</v>
      </c>
      <c r="R73" s="359">
        <f t="shared" ca="1" si="27"/>
        <v>0</v>
      </c>
      <c r="S73" s="359">
        <f t="shared" ca="1" si="27"/>
        <v>0</v>
      </c>
      <c r="T73" s="359">
        <f t="shared" ca="1" si="27"/>
        <v>0</v>
      </c>
      <c r="U73" s="359">
        <f t="shared" ca="1" si="27"/>
        <v>0</v>
      </c>
      <c r="V73" s="359">
        <f t="shared" ca="1" si="27"/>
        <v>0</v>
      </c>
      <c r="W73" s="359">
        <f t="shared" ca="1" si="27"/>
        <v>0</v>
      </c>
      <c r="X73" s="359">
        <f t="shared" ca="1" si="27"/>
        <v>0</v>
      </c>
      <c r="Y73" s="359">
        <f t="shared" ca="1" si="27"/>
        <v>0</v>
      </c>
      <c r="Z73" s="359">
        <f t="shared" ca="1" si="27"/>
        <v>0</v>
      </c>
      <c r="AA73" s="359">
        <f t="shared" ca="1" si="27"/>
        <v>0</v>
      </c>
      <c r="AB73" s="359">
        <f t="shared" ca="1" si="27"/>
        <v>0</v>
      </c>
      <c r="AC73" s="359">
        <f t="shared" ca="1" si="27"/>
        <v>0</v>
      </c>
      <c r="AD73" s="359">
        <f t="shared" ca="1" si="27"/>
        <v>0</v>
      </c>
      <c r="AE73" s="359">
        <f t="shared" ca="1" si="27"/>
        <v>0</v>
      </c>
      <c r="AF73" s="359">
        <f t="shared" ca="1" si="27"/>
        <v>0</v>
      </c>
      <c r="AG73" s="359">
        <f t="shared" ca="1" si="27"/>
        <v>0</v>
      </c>
      <c r="AH73" s="359">
        <f t="shared" ca="1" si="27"/>
        <v>0</v>
      </c>
      <c r="AI73" s="359">
        <f t="shared" ca="1" si="27"/>
        <v>0</v>
      </c>
      <c r="AJ73" s="359">
        <f t="shared" ca="1" si="27"/>
        <v>0</v>
      </c>
      <c r="AK73" s="359">
        <f t="shared" ca="1" si="27"/>
        <v>0</v>
      </c>
      <c r="AL73" s="359">
        <f t="shared" ca="1" si="27"/>
        <v>0</v>
      </c>
      <c r="AM73" s="359">
        <f t="shared" ca="1" si="27"/>
        <v>0</v>
      </c>
      <c r="AN73" s="359">
        <f t="shared" ca="1" si="27"/>
        <v>0</v>
      </c>
      <c r="AO73" s="359">
        <f t="shared" ca="1" si="27"/>
        <v>0</v>
      </c>
      <c r="AP73" s="359">
        <f t="shared" ca="1" si="27"/>
        <v>0</v>
      </c>
      <c r="AQ73" s="359">
        <f t="shared" ca="1" si="27"/>
        <v>0</v>
      </c>
      <c r="AR73" s="359">
        <f t="shared" ca="1" si="27"/>
        <v>0</v>
      </c>
      <c r="AS73" s="359">
        <f t="shared" ca="1" si="27"/>
        <v>0</v>
      </c>
      <c r="AT73" s="359">
        <f t="shared" ca="1" si="27"/>
        <v>0</v>
      </c>
      <c r="AU73" s="359">
        <f t="shared" ca="1" si="27"/>
        <v>0</v>
      </c>
      <c r="AV73" s="359">
        <f t="shared" ca="1" si="27"/>
        <v>0</v>
      </c>
      <c r="AW73" s="359">
        <f t="shared" ca="1" si="27"/>
        <v>0</v>
      </c>
      <c r="AX73" s="359">
        <f t="shared" ca="1" si="27"/>
        <v>0</v>
      </c>
      <c r="AY73" s="359">
        <f t="shared" ca="1" si="27"/>
        <v>0</v>
      </c>
      <c r="AZ73" s="359">
        <f t="shared" ca="1" si="27"/>
        <v>0</v>
      </c>
      <c r="BA73" s="359">
        <f t="shared" ca="1" si="27"/>
        <v>0</v>
      </c>
      <c r="BB73" s="359">
        <f t="shared" ca="1" si="27"/>
        <v>0</v>
      </c>
      <c r="BC73" s="359">
        <f t="shared" ca="1" si="27"/>
        <v>0</v>
      </c>
      <c r="BD73" s="359">
        <f t="shared" ca="1" si="27"/>
        <v>0</v>
      </c>
      <c r="BE73" s="359">
        <f t="shared" ca="1" si="27"/>
        <v>0</v>
      </c>
      <c r="BF73" s="359">
        <f t="shared" ca="1" si="27"/>
        <v>0</v>
      </c>
      <c r="BG73" s="359">
        <f t="shared" ca="1" si="27"/>
        <v>0</v>
      </c>
      <c r="BH73" s="359">
        <f t="shared" ca="1" si="27"/>
        <v>0</v>
      </c>
      <c r="BI73" s="359">
        <f t="shared" ca="1" si="27"/>
        <v>0</v>
      </c>
      <c r="BJ73" s="359">
        <f t="shared" ca="1" si="27"/>
        <v>0</v>
      </c>
      <c r="BK73" s="359">
        <f t="shared" ca="1" si="27"/>
        <v>0</v>
      </c>
      <c r="BL73" s="359">
        <f t="shared" ca="1" si="27"/>
        <v>0</v>
      </c>
      <c r="BM73" s="359">
        <f t="shared" ca="1" si="27"/>
        <v>0</v>
      </c>
      <c r="BN73" s="359">
        <f t="shared" ref="BN73:DQ73" ca="1" si="28">OFFSET($C6,0,157-COLUMN(),)</f>
        <v>0</v>
      </c>
      <c r="BO73" s="359">
        <f t="shared" ca="1" si="28"/>
        <v>0</v>
      </c>
      <c r="BP73" s="359">
        <f t="shared" ca="1" si="28"/>
        <v>0</v>
      </c>
      <c r="BQ73" s="359">
        <f t="shared" ca="1" si="28"/>
        <v>0</v>
      </c>
      <c r="BR73" s="359">
        <f t="shared" ca="1" si="28"/>
        <v>0</v>
      </c>
      <c r="BS73" s="359">
        <f t="shared" ca="1" si="28"/>
        <v>0</v>
      </c>
      <c r="BT73" s="359">
        <f t="shared" ca="1" si="28"/>
        <v>0</v>
      </c>
      <c r="BU73" s="359">
        <f t="shared" ca="1" si="28"/>
        <v>0</v>
      </c>
      <c r="BV73" s="359">
        <f t="shared" ca="1" si="28"/>
        <v>0</v>
      </c>
      <c r="BW73" s="359">
        <f t="shared" ca="1" si="28"/>
        <v>0</v>
      </c>
      <c r="BX73" s="359">
        <f t="shared" ca="1" si="28"/>
        <v>0</v>
      </c>
      <c r="BY73" s="359">
        <f t="shared" ca="1" si="28"/>
        <v>0</v>
      </c>
      <c r="BZ73" s="359">
        <f t="shared" ca="1" si="28"/>
        <v>0</v>
      </c>
      <c r="CA73" s="359">
        <f t="shared" ca="1" si="28"/>
        <v>0</v>
      </c>
      <c r="CB73" s="359">
        <f t="shared" ca="1" si="28"/>
        <v>0</v>
      </c>
      <c r="CC73" s="359">
        <f t="shared" ca="1" si="28"/>
        <v>0</v>
      </c>
      <c r="CD73" s="359">
        <f t="shared" ca="1" si="28"/>
        <v>0</v>
      </c>
      <c r="CE73" s="359">
        <f t="shared" ca="1" si="28"/>
        <v>0</v>
      </c>
      <c r="CF73" s="359">
        <f t="shared" ca="1" si="28"/>
        <v>0</v>
      </c>
      <c r="CG73" s="359">
        <f t="shared" ca="1" si="28"/>
        <v>0</v>
      </c>
      <c r="CH73" s="359">
        <f t="shared" ca="1" si="28"/>
        <v>0</v>
      </c>
      <c r="CI73" s="359">
        <f t="shared" ca="1" si="28"/>
        <v>0</v>
      </c>
      <c r="CJ73" s="359">
        <f t="shared" ca="1" si="28"/>
        <v>0</v>
      </c>
      <c r="CK73" s="359">
        <f t="shared" ca="1" si="28"/>
        <v>0</v>
      </c>
      <c r="CL73" s="359">
        <f t="shared" ca="1" si="28"/>
        <v>0</v>
      </c>
      <c r="CM73" s="359">
        <f t="shared" ca="1" si="28"/>
        <v>0</v>
      </c>
      <c r="CN73" s="359">
        <f t="shared" ca="1" si="28"/>
        <v>0</v>
      </c>
      <c r="CO73" s="359">
        <f t="shared" ca="1" si="28"/>
        <v>0</v>
      </c>
      <c r="CP73" s="359">
        <f t="shared" ca="1" si="28"/>
        <v>0</v>
      </c>
      <c r="CQ73" s="359">
        <f t="shared" ca="1" si="28"/>
        <v>0</v>
      </c>
      <c r="CR73" s="359">
        <f t="shared" ca="1" si="28"/>
        <v>0</v>
      </c>
      <c r="CS73" s="359">
        <f t="shared" ca="1" si="28"/>
        <v>0</v>
      </c>
      <c r="CT73" s="359">
        <f t="shared" ca="1" si="28"/>
        <v>0</v>
      </c>
      <c r="CU73" s="359">
        <f t="shared" ca="1" si="28"/>
        <v>0</v>
      </c>
      <c r="CV73" s="359">
        <f t="shared" ca="1" si="28"/>
        <v>0</v>
      </c>
      <c r="CW73" s="359">
        <f t="shared" ca="1" si="28"/>
        <v>0</v>
      </c>
      <c r="CX73" s="359">
        <f t="shared" ca="1" si="28"/>
        <v>0</v>
      </c>
      <c r="CY73" s="359">
        <f t="shared" ca="1" si="28"/>
        <v>0</v>
      </c>
      <c r="CZ73" s="359">
        <f t="shared" ca="1" si="28"/>
        <v>0</v>
      </c>
      <c r="DA73" s="359">
        <f t="shared" ca="1" si="28"/>
        <v>0</v>
      </c>
      <c r="DB73" s="359">
        <f t="shared" ca="1" si="28"/>
        <v>0</v>
      </c>
      <c r="DC73" s="359">
        <f t="shared" ca="1" si="28"/>
        <v>0</v>
      </c>
      <c r="DD73" s="359">
        <f t="shared" ca="1" si="28"/>
        <v>0</v>
      </c>
      <c r="DE73" s="359">
        <f t="shared" ca="1" si="28"/>
        <v>0</v>
      </c>
      <c r="DF73" s="359">
        <f t="shared" ca="1" si="28"/>
        <v>0</v>
      </c>
      <c r="DG73" s="359">
        <f t="shared" ca="1" si="28"/>
        <v>0</v>
      </c>
      <c r="DH73" s="359">
        <f t="shared" ca="1" si="28"/>
        <v>0</v>
      </c>
      <c r="DI73" s="359">
        <f t="shared" ca="1" si="28"/>
        <v>0</v>
      </c>
      <c r="DJ73" s="359">
        <f t="shared" ca="1" si="28"/>
        <v>0</v>
      </c>
      <c r="DK73" s="359">
        <f t="shared" ca="1" si="28"/>
        <v>0</v>
      </c>
      <c r="DL73" s="359">
        <f t="shared" ca="1" si="28"/>
        <v>0</v>
      </c>
      <c r="DM73" s="359">
        <f t="shared" ca="1" si="28"/>
        <v>-0.7</v>
      </c>
      <c r="DN73" s="359" t="e">
        <f t="shared" ca="1" si="28"/>
        <v>#REF!</v>
      </c>
      <c r="DO73" s="359" t="e">
        <f t="shared" ca="1" si="28"/>
        <v>#REF!</v>
      </c>
      <c r="DP73" s="359">
        <f t="shared" ca="1" si="28"/>
        <v>-0.75</v>
      </c>
      <c r="DQ73" s="359">
        <f t="shared" ca="1" si="28"/>
        <v>-0.48</v>
      </c>
      <c r="DR73" s="359">
        <f t="shared" ca="1" si="24"/>
        <v>-0.79</v>
      </c>
      <c r="DS73" s="359">
        <f t="shared" ca="1" si="20"/>
        <v>-0.37</v>
      </c>
      <c r="DT73" s="359">
        <f t="shared" ca="1" si="20"/>
        <v>-0.14000000000000001</v>
      </c>
      <c r="DU73" s="359">
        <f t="shared" ca="1" si="20"/>
        <v>-6.7798560000000105E-2</v>
      </c>
      <c r="DV73" s="359">
        <f ca="1">OFFSET($C6,0,157-COLUMN(),)</f>
        <v>7.9484369999999901E-2</v>
      </c>
      <c r="DW73" s="359">
        <f t="shared" ca="1" si="20"/>
        <v>-0.3</v>
      </c>
      <c r="DX73" s="359">
        <f t="shared" ca="1" si="20"/>
        <v>-0.15862744500000001</v>
      </c>
      <c r="DY73" s="359">
        <f t="shared" ca="1" si="20"/>
        <v>0</v>
      </c>
      <c r="DZ73" s="359">
        <f t="shared" ca="1" si="20"/>
        <v>0</v>
      </c>
      <c r="EA73" s="359">
        <f t="shared" ca="1" si="20"/>
        <v>0</v>
      </c>
      <c r="EB73" s="359">
        <f t="shared" ca="1" si="20"/>
        <v>0</v>
      </c>
      <c r="EC73" s="359">
        <f t="shared" ca="1" si="20"/>
        <v>0</v>
      </c>
      <c r="ED73" s="359">
        <f t="shared" ca="1" si="20"/>
        <v>0</v>
      </c>
      <c r="EE73" s="359">
        <f t="shared" ca="1" si="20"/>
        <v>0</v>
      </c>
      <c r="EF73" s="359">
        <f t="shared" ca="1" si="20"/>
        <v>0</v>
      </c>
      <c r="EG73" s="359">
        <f t="shared" ca="1" si="20"/>
        <v>0</v>
      </c>
      <c r="EH73" s="359">
        <f t="shared" ca="1" si="20"/>
        <v>0</v>
      </c>
      <c r="EI73" s="359">
        <f t="shared" ca="1" si="21"/>
        <v>0</v>
      </c>
      <c r="EJ73" s="359">
        <f t="shared" ca="1" si="21"/>
        <v>0</v>
      </c>
      <c r="EK73" s="359">
        <f t="shared" ca="1" si="20"/>
        <v>0</v>
      </c>
      <c r="EL73" s="359">
        <f t="shared" ca="1" si="20"/>
        <v>0</v>
      </c>
      <c r="EM73" s="359">
        <f t="shared" ca="1" si="20"/>
        <v>0</v>
      </c>
      <c r="EN73" s="359">
        <f t="shared" ca="1" si="20"/>
        <v>0</v>
      </c>
      <c r="EO73" s="359">
        <f t="shared" ca="1" si="20"/>
        <v>0</v>
      </c>
      <c r="EP73" s="359">
        <f t="shared" ca="1" si="20"/>
        <v>0</v>
      </c>
      <c r="EQ73" s="359">
        <f t="shared" ca="1" si="20"/>
        <v>0</v>
      </c>
      <c r="ER73" s="359">
        <f t="shared" ca="1" si="20"/>
        <v>0</v>
      </c>
      <c r="ES73" s="359">
        <f t="shared" ca="1" si="20"/>
        <v>0</v>
      </c>
      <c r="ET73" s="359">
        <f t="shared" ca="1" si="20"/>
        <v>0</v>
      </c>
      <c r="EU73" s="359">
        <f t="shared" ca="1" si="20"/>
        <v>0</v>
      </c>
      <c r="EV73" s="359">
        <f t="shared" ca="1" si="20"/>
        <v>0</v>
      </c>
      <c r="EW73" s="359">
        <f t="shared" ca="1" si="20"/>
        <v>0</v>
      </c>
      <c r="EX73" s="359">
        <f t="shared" ca="1" si="20"/>
        <v>0</v>
      </c>
      <c r="EY73" s="359">
        <f t="shared" ca="1" si="20"/>
        <v>0</v>
      </c>
      <c r="EZ73" s="359">
        <f t="shared" ca="1" si="20"/>
        <v>0</v>
      </c>
      <c r="FA73" s="360">
        <f t="shared" ca="1" si="20"/>
        <v>0</v>
      </c>
    </row>
    <row r="74" spans="1:157" s="195" customFormat="1" x14ac:dyDescent="0.25">
      <c r="A74" t="s">
        <v>308</v>
      </c>
      <c r="B74" s="358">
        <f t="shared" ref="B74:BM74" ca="1" si="29">OFFSET($C7,0,157-COLUMN(),)</f>
        <v>0</v>
      </c>
      <c r="C74" s="359">
        <f t="shared" ca="1" si="29"/>
        <v>0</v>
      </c>
      <c r="D74" s="359">
        <f t="shared" ca="1" si="29"/>
        <v>0</v>
      </c>
      <c r="E74" s="359">
        <f t="shared" ca="1" si="29"/>
        <v>0</v>
      </c>
      <c r="F74" s="359">
        <f t="shared" ca="1" si="29"/>
        <v>0</v>
      </c>
      <c r="G74" s="359">
        <f t="shared" ca="1" si="29"/>
        <v>0</v>
      </c>
      <c r="H74" s="359">
        <f t="shared" ca="1" si="29"/>
        <v>0</v>
      </c>
      <c r="I74" s="359">
        <f t="shared" ca="1" si="29"/>
        <v>0</v>
      </c>
      <c r="J74" s="359">
        <f t="shared" ca="1" si="29"/>
        <v>0</v>
      </c>
      <c r="K74" s="359">
        <f t="shared" ca="1" si="29"/>
        <v>0</v>
      </c>
      <c r="L74" s="359">
        <f t="shared" ca="1" si="29"/>
        <v>0</v>
      </c>
      <c r="M74" s="359">
        <f t="shared" ca="1" si="29"/>
        <v>0</v>
      </c>
      <c r="N74" s="359">
        <f t="shared" ca="1" si="29"/>
        <v>0</v>
      </c>
      <c r="O74" s="359">
        <f t="shared" ca="1" si="29"/>
        <v>0</v>
      </c>
      <c r="P74" s="359">
        <f t="shared" ca="1" si="29"/>
        <v>0</v>
      </c>
      <c r="Q74" s="359">
        <f t="shared" ca="1" si="29"/>
        <v>0</v>
      </c>
      <c r="R74" s="359">
        <f t="shared" ca="1" si="29"/>
        <v>0</v>
      </c>
      <c r="S74" s="359">
        <f t="shared" ca="1" si="29"/>
        <v>0</v>
      </c>
      <c r="T74" s="359">
        <f t="shared" ca="1" si="29"/>
        <v>0</v>
      </c>
      <c r="U74" s="359">
        <f t="shared" ca="1" si="29"/>
        <v>0</v>
      </c>
      <c r="V74" s="359">
        <f t="shared" ca="1" si="29"/>
        <v>0</v>
      </c>
      <c r="W74" s="359">
        <f t="shared" ca="1" si="29"/>
        <v>0</v>
      </c>
      <c r="X74" s="359">
        <f t="shared" ca="1" si="29"/>
        <v>0</v>
      </c>
      <c r="Y74" s="359">
        <f t="shared" ca="1" si="29"/>
        <v>0</v>
      </c>
      <c r="Z74" s="359">
        <f t="shared" ca="1" si="29"/>
        <v>0</v>
      </c>
      <c r="AA74" s="359">
        <f t="shared" ca="1" si="29"/>
        <v>0</v>
      </c>
      <c r="AB74" s="359">
        <f t="shared" ca="1" si="29"/>
        <v>0</v>
      </c>
      <c r="AC74" s="359">
        <f t="shared" ca="1" si="29"/>
        <v>0</v>
      </c>
      <c r="AD74" s="359">
        <f t="shared" ca="1" si="29"/>
        <v>0</v>
      </c>
      <c r="AE74" s="359">
        <f t="shared" ca="1" si="29"/>
        <v>0</v>
      </c>
      <c r="AF74" s="359">
        <f t="shared" ca="1" si="29"/>
        <v>0</v>
      </c>
      <c r="AG74" s="359">
        <f t="shared" ca="1" si="29"/>
        <v>0</v>
      </c>
      <c r="AH74" s="359">
        <f t="shared" ca="1" si="29"/>
        <v>0</v>
      </c>
      <c r="AI74" s="359">
        <f t="shared" ca="1" si="29"/>
        <v>0</v>
      </c>
      <c r="AJ74" s="359">
        <f t="shared" ca="1" si="29"/>
        <v>0</v>
      </c>
      <c r="AK74" s="359">
        <f t="shared" ca="1" si="29"/>
        <v>0</v>
      </c>
      <c r="AL74" s="359">
        <f t="shared" ca="1" si="29"/>
        <v>0</v>
      </c>
      <c r="AM74" s="359">
        <f t="shared" ca="1" si="29"/>
        <v>0</v>
      </c>
      <c r="AN74" s="359">
        <f t="shared" ca="1" si="29"/>
        <v>0</v>
      </c>
      <c r="AO74" s="359">
        <f t="shared" ca="1" si="29"/>
        <v>0</v>
      </c>
      <c r="AP74" s="359">
        <f t="shared" ca="1" si="29"/>
        <v>0</v>
      </c>
      <c r="AQ74" s="359">
        <f t="shared" ca="1" si="29"/>
        <v>0</v>
      </c>
      <c r="AR74" s="359">
        <f t="shared" ca="1" si="29"/>
        <v>0</v>
      </c>
      <c r="AS74" s="359">
        <f t="shared" ca="1" si="29"/>
        <v>0</v>
      </c>
      <c r="AT74" s="359">
        <f t="shared" ca="1" si="29"/>
        <v>0</v>
      </c>
      <c r="AU74" s="359">
        <f t="shared" ca="1" si="29"/>
        <v>0</v>
      </c>
      <c r="AV74" s="359">
        <f t="shared" ca="1" si="29"/>
        <v>0</v>
      </c>
      <c r="AW74" s="359">
        <f t="shared" ca="1" si="29"/>
        <v>0</v>
      </c>
      <c r="AX74" s="359">
        <f t="shared" ca="1" si="29"/>
        <v>0</v>
      </c>
      <c r="AY74" s="359">
        <f t="shared" ca="1" si="29"/>
        <v>0</v>
      </c>
      <c r="AZ74" s="359">
        <f t="shared" ca="1" si="29"/>
        <v>0</v>
      </c>
      <c r="BA74" s="359">
        <f t="shared" ca="1" si="29"/>
        <v>0</v>
      </c>
      <c r="BB74" s="359">
        <f t="shared" ca="1" si="29"/>
        <v>0</v>
      </c>
      <c r="BC74" s="359">
        <f t="shared" ca="1" si="29"/>
        <v>0</v>
      </c>
      <c r="BD74" s="359">
        <f t="shared" ca="1" si="29"/>
        <v>0</v>
      </c>
      <c r="BE74" s="359">
        <f t="shared" ca="1" si="29"/>
        <v>0</v>
      </c>
      <c r="BF74" s="359">
        <f t="shared" ca="1" si="29"/>
        <v>0</v>
      </c>
      <c r="BG74" s="359">
        <f t="shared" ca="1" si="29"/>
        <v>0</v>
      </c>
      <c r="BH74" s="359">
        <f t="shared" ca="1" si="29"/>
        <v>0</v>
      </c>
      <c r="BI74" s="359">
        <f t="shared" ca="1" si="29"/>
        <v>0</v>
      </c>
      <c r="BJ74" s="359">
        <f t="shared" ca="1" si="29"/>
        <v>0</v>
      </c>
      <c r="BK74" s="359">
        <f t="shared" ca="1" si="29"/>
        <v>0</v>
      </c>
      <c r="BL74" s="359">
        <f t="shared" ca="1" si="29"/>
        <v>0</v>
      </c>
      <c r="BM74" s="359">
        <f t="shared" ca="1" si="29"/>
        <v>0</v>
      </c>
      <c r="BN74" s="359">
        <f t="shared" ref="BN74:DQ74" ca="1" si="30">OFFSET($C7,0,157-COLUMN(),)</f>
        <v>0</v>
      </c>
      <c r="BO74" s="359">
        <f t="shared" ca="1" si="30"/>
        <v>0</v>
      </c>
      <c r="BP74" s="359">
        <f t="shared" ca="1" si="30"/>
        <v>0</v>
      </c>
      <c r="BQ74" s="359">
        <f t="shared" ca="1" si="30"/>
        <v>0</v>
      </c>
      <c r="BR74" s="359">
        <f t="shared" ca="1" si="30"/>
        <v>0</v>
      </c>
      <c r="BS74" s="359">
        <f t="shared" ca="1" si="30"/>
        <v>0</v>
      </c>
      <c r="BT74" s="359">
        <f t="shared" ca="1" si="30"/>
        <v>0</v>
      </c>
      <c r="BU74" s="359">
        <f t="shared" ca="1" si="30"/>
        <v>0</v>
      </c>
      <c r="BV74" s="359">
        <f t="shared" ca="1" si="30"/>
        <v>0</v>
      </c>
      <c r="BW74" s="359">
        <f t="shared" ca="1" si="30"/>
        <v>0</v>
      </c>
      <c r="BX74" s="359">
        <f t="shared" ca="1" si="30"/>
        <v>0</v>
      </c>
      <c r="BY74" s="359">
        <f t="shared" ca="1" si="30"/>
        <v>0</v>
      </c>
      <c r="BZ74" s="359">
        <f t="shared" ca="1" si="30"/>
        <v>0</v>
      </c>
      <c r="CA74" s="359">
        <f t="shared" ca="1" si="30"/>
        <v>0</v>
      </c>
      <c r="CB74" s="359">
        <f t="shared" ca="1" si="30"/>
        <v>0</v>
      </c>
      <c r="CC74" s="359">
        <f t="shared" ca="1" si="30"/>
        <v>0</v>
      </c>
      <c r="CD74" s="359">
        <f t="shared" ca="1" si="30"/>
        <v>0</v>
      </c>
      <c r="CE74" s="359">
        <f t="shared" ca="1" si="30"/>
        <v>0</v>
      </c>
      <c r="CF74" s="359">
        <f t="shared" ca="1" si="30"/>
        <v>0</v>
      </c>
      <c r="CG74" s="359">
        <f t="shared" ca="1" si="30"/>
        <v>0</v>
      </c>
      <c r="CH74" s="359">
        <f t="shared" ca="1" si="30"/>
        <v>0</v>
      </c>
      <c r="CI74" s="359">
        <f t="shared" ca="1" si="30"/>
        <v>0</v>
      </c>
      <c r="CJ74" s="359">
        <f t="shared" ca="1" si="30"/>
        <v>0</v>
      </c>
      <c r="CK74" s="359">
        <f t="shared" ca="1" si="30"/>
        <v>0</v>
      </c>
      <c r="CL74" s="359">
        <f t="shared" ca="1" si="30"/>
        <v>0</v>
      </c>
      <c r="CM74" s="359">
        <f t="shared" ca="1" si="30"/>
        <v>0</v>
      </c>
      <c r="CN74" s="359">
        <f t="shared" ca="1" si="30"/>
        <v>0</v>
      </c>
      <c r="CO74" s="359">
        <f t="shared" ca="1" si="30"/>
        <v>0</v>
      </c>
      <c r="CP74" s="359">
        <f t="shared" ca="1" si="30"/>
        <v>0</v>
      </c>
      <c r="CQ74" s="359">
        <f t="shared" ca="1" si="30"/>
        <v>0</v>
      </c>
      <c r="CR74" s="359">
        <f t="shared" ca="1" si="30"/>
        <v>0</v>
      </c>
      <c r="CS74" s="359">
        <f t="shared" ca="1" si="30"/>
        <v>0</v>
      </c>
      <c r="CT74" s="359">
        <f t="shared" ca="1" si="30"/>
        <v>0</v>
      </c>
      <c r="CU74" s="359">
        <f t="shared" ca="1" si="30"/>
        <v>0</v>
      </c>
      <c r="CV74" s="359">
        <f t="shared" ca="1" si="30"/>
        <v>0</v>
      </c>
      <c r="CW74" s="359">
        <f t="shared" ca="1" si="30"/>
        <v>0</v>
      </c>
      <c r="CX74" s="359">
        <f t="shared" ca="1" si="30"/>
        <v>0</v>
      </c>
      <c r="CY74" s="359">
        <f t="shared" ca="1" si="30"/>
        <v>0</v>
      </c>
      <c r="CZ74" s="359">
        <f t="shared" ca="1" si="30"/>
        <v>0</v>
      </c>
      <c r="DA74" s="359">
        <f t="shared" ca="1" si="30"/>
        <v>0</v>
      </c>
      <c r="DB74" s="359">
        <f t="shared" ca="1" si="30"/>
        <v>0</v>
      </c>
      <c r="DC74" s="359">
        <f t="shared" ca="1" si="30"/>
        <v>0</v>
      </c>
      <c r="DD74" s="359">
        <f t="shared" ca="1" si="30"/>
        <v>0</v>
      </c>
      <c r="DE74" s="359">
        <f t="shared" ca="1" si="30"/>
        <v>0</v>
      </c>
      <c r="DF74" s="359">
        <f t="shared" ca="1" si="30"/>
        <v>0</v>
      </c>
      <c r="DG74" s="359">
        <f t="shared" ca="1" si="30"/>
        <v>0</v>
      </c>
      <c r="DH74" s="359">
        <f t="shared" ca="1" si="30"/>
        <v>0</v>
      </c>
      <c r="DI74" s="359">
        <f t="shared" ca="1" si="30"/>
        <v>0</v>
      </c>
      <c r="DJ74" s="359">
        <f t="shared" ca="1" si="30"/>
        <v>0</v>
      </c>
      <c r="DK74" s="359">
        <f t="shared" ca="1" si="30"/>
        <v>0</v>
      </c>
      <c r="DL74" s="359">
        <f t="shared" ca="1" si="30"/>
        <v>0</v>
      </c>
      <c r="DM74" s="359">
        <f t="shared" ca="1" si="30"/>
        <v>3.0709919999999999</v>
      </c>
      <c r="DN74" s="359" t="e">
        <f t="shared" ca="1" si="30"/>
        <v>#REF!</v>
      </c>
      <c r="DO74" s="359" t="e">
        <f t="shared" ca="1" si="30"/>
        <v>#REF!</v>
      </c>
      <c r="DP74" s="359">
        <f t="shared" ca="1" si="30"/>
        <v>3.0135725</v>
      </c>
      <c r="DQ74" s="359">
        <f t="shared" ca="1" si="30"/>
        <v>2.9967290899999997</v>
      </c>
      <c r="DR74" s="359">
        <f t="shared" ca="1" si="24"/>
        <v>3.1682481600000001</v>
      </c>
      <c r="DS74" s="359">
        <f t="shared" ca="1" si="20"/>
        <v>3.20344213</v>
      </c>
      <c r="DT74" s="359">
        <f t="shared" ca="1" si="20"/>
        <v>3.0833353199999998</v>
      </c>
      <c r="DU74" s="359">
        <f t="shared" ca="1" si="20"/>
        <v>3.3247342599999996</v>
      </c>
      <c r="DV74" s="359">
        <f t="shared" ca="1" si="20"/>
        <v>3.4584720600000001</v>
      </c>
      <c r="DW74" s="359">
        <f t="shared" ca="1" si="20"/>
        <v>3.43198479</v>
      </c>
      <c r="DX74" s="359">
        <f t="shared" ca="1" si="20"/>
        <v>3.29002018</v>
      </c>
      <c r="DY74" s="359">
        <f t="shared" ca="1" si="20"/>
        <v>3.5062754100000002</v>
      </c>
      <c r="DZ74" s="359">
        <f t="shared" ca="1" si="20"/>
        <v>3.5752103500000003</v>
      </c>
      <c r="EA74" s="359">
        <f t="shared" ca="1" si="20"/>
        <v>3.9189530000000001</v>
      </c>
      <c r="EB74" s="359">
        <f t="shared" ca="1" si="20"/>
        <v>4.3470880599999999</v>
      </c>
      <c r="EC74" s="359">
        <f t="shared" ca="1" si="20"/>
        <v>4.26786406</v>
      </c>
      <c r="ED74" s="359">
        <f t="shared" ca="1" si="20"/>
        <v>4.35074352</v>
      </c>
      <c r="EE74" s="359">
        <f t="shared" ca="1" si="20"/>
        <v>4.3302056100000001</v>
      </c>
      <c r="EF74" s="359">
        <f t="shared" ca="1" si="20"/>
        <v>4.5766081500000002</v>
      </c>
      <c r="EG74" s="359">
        <f t="shared" ca="1" si="20"/>
        <v>4.7545417499999996</v>
      </c>
      <c r="EH74" s="359">
        <f t="shared" ca="1" si="20"/>
        <v>4.7441147499999996</v>
      </c>
      <c r="EI74" s="359">
        <f t="shared" ca="1" si="21"/>
        <v>4.8375297800000006</v>
      </c>
      <c r="EJ74" s="359">
        <f t="shared" ca="1" si="21"/>
        <v>4.9310055999999998</v>
      </c>
      <c r="EK74" s="359">
        <f t="shared" ca="1" si="20"/>
        <v>4.9868600000000001</v>
      </c>
      <c r="EL74" s="359">
        <f t="shared" ca="1" si="20"/>
        <v>4.8697480200000003</v>
      </c>
      <c r="EM74" s="359">
        <f t="shared" ca="1" si="20"/>
        <v>4.9379999999999997</v>
      </c>
      <c r="EN74" s="359">
        <f t="shared" ca="1" si="20"/>
        <v>4.7746849999999998</v>
      </c>
      <c r="EO74" s="359">
        <f t="shared" ca="1" si="20"/>
        <v>4.57</v>
      </c>
      <c r="EP74" s="359">
        <f t="shared" ca="1" si="20"/>
        <v>4.83</v>
      </c>
      <c r="EQ74" s="359">
        <f t="shared" ca="1" si="20"/>
        <v>5.05</v>
      </c>
      <c r="ER74" s="359">
        <f t="shared" ca="1" si="20"/>
        <v>4.87</v>
      </c>
      <c r="ES74" s="359">
        <f t="shared" ca="1" si="20"/>
        <v>4.7699999999999996</v>
      </c>
      <c r="ET74" s="359">
        <f t="shared" ca="1" si="20"/>
        <v>4.7593129999999997</v>
      </c>
      <c r="EU74" s="359">
        <f t="shared" ca="1" si="20"/>
        <v>4.934882</v>
      </c>
      <c r="EV74" s="359">
        <f t="shared" ca="1" si="20"/>
        <v>4.796386</v>
      </c>
      <c r="EW74" s="359">
        <f t="shared" ca="1" si="20"/>
        <v>4.2607840000000001</v>
      </c>
      <c r="EX74" s="359">
        <f t="shared" ca="1" si="20"/>
        <v>3.8674844199999998</v>
      </c>
      <c r="EY74" s="359">
        <f t="shared" ca="1" si="20"/>
        <v>4.01082772</v>
      </c>
      <c r="EZ74" s="359">
        <f t="shared" ca="1" si="20"/>
        <v>3.7532797699999998</v>
      </c>
      <c r="FA74" s="360">
        <f t="shared" ca="1" si="20"/>
        <v>3.6094250000000003</v>
      </c>
    </row>
    <row r="75" spans="1:157" s="195" customFormat="1" x14ac:dyDescent="0.25">
      <c r="A75" t="s">
        <v>309</v>
      </c>
      <c r="B75" s="358">
        <f t="shared" ref="B75:BM75" ca="1" si="31">OFFSET($C8,0,157-COLUMN(),)</f>
        <v>0</v>
      </c>
      <c r="C75" s="359">
        <f t="shared" ca="1" si="31"/>
        <v>0</v>
      </c>
      <c r="D75" s="359">
        <f t="shared" ca="1" si="31"/>
        <v>0</v>
      </c>
      <c r="E75" s="359">
        <f t="shared" ca="1" si="31"/>
        <v>0</v>
      </c>
      <c r="F75" s="359">
        <f t="shared" ca="1" si="31"/>
        <v>0</v>
      </c>
      <c r="G75" s="359">
        <f t="shared" ca="1" si="31"/>
        <v>0</v>
      </c>
      <c r="H75" s="359">
        <f t="shared" ca="1" si="31"/>
        <v>0</v>
      </c>
      <c r="I75" s="359">
        <f t="shared" ca="1" si="31"/>
        <v>0</v>
      </c>
      <c r="J75" s="359">
        <f t="shared" ca="1" si="31"/>
        <v>0</v>
      </c>
      <c r="K75" s="359">
        <f t="shared" ca="1" si="31"/>
        <v>0</v>
      </c>
      <c r="L75" s="359">
        <f t="shared" ca="1" si="31"/>
        <v>0</v>
      </c>
      <c r="M75" s="359">
        <f t="shared" ca="1" si="31"/>
        <v>0</v>
      </c>
      <c r="N75" s="359">
        <f t="shared" ca="1" si="31"/>
        <v>0</v>
      </c>
      <c r="O75" s="359">
        <f t="shared" ca="1" si="31"/>
        <v>0</v>
      </c>
      <c r="P75" s="359">
        <f t="shared" ca="1" si="31"/>
        <v>0</v>
      </c>
      <c r="Q75" s="359">
        <f t="shared" ca="1" si="31"/>
        <v>0</v>
      </c>
      <c r="R75" s="359">
        <f t="shared" ca="1" si="31"/>
        <v>0</v>
      </c>
      <c r="S75" s="359">
        <f t="shared" ca="1" si="31"/>
        <v>0</v>
      </c>
      <c r="T75" s="359">
        <f t="shared" ca="1" si="31"/>
        <v>0</v>
      </c>
      <c r="U75" s="359">
        <f t="shared" ca="1" si="31"/>
        <v>0</v>
      </c>
      <c r="V75" s="359">
        <f t="shared" ca="1" si="31"/>
        <v>0</v>
      </c>
      <c r="W75" s="359">
        <f t="shared" ca="1" si="31"/>
        <v>0</v>
      </c>
      <c r="X75" s="359">
        <f t="shared" ca="1" si="31"/>
        <v>0</v>
      </c>
      <c r="Y75" s="359">
        <f t="shared" ca="1" si="31"/>
        <v>0</v>
      </c>
      <c r="Z75" s="359">
        <f t="shared" ca="1" si="31"/>
        <v>0</v>
      </c>
      <c r="AA75" s="359">
        <f t="shared" ca="1" si="31"/>
        <v>0</v>
      </c>
      <c r="AB75" s="359">
        <f t="shared" ca="1" si="31"/>
        <v>0</v>
      </c>
      <c r="AC75" s="359">
        <f t="shared" ca="1" si="31"/>
        <v>0</v>
      </c>
      <c r="AD75" s="359">
        <f t="shared" ca="1" si="31"/>
        <v>0</v>
      </c>
      <c r="AE75" s="359">
        <f t="shared" ca="1" si="31"/>
        <v>0</v>
      </c>
      <c r="AF75" s="359">
        <f t="shared" ca="1" si="31"/>
        <v>0</v>
      </c>
      <c r="AG75" s="359">
        <f t="shared" ca="1" si="31"/>
        <v>0</v>
      </c>
      <c r="AH75" s="359">
        <f t="shared" ca="1" si="31"/>
        <v>0</v>
      </c>
      <c r="AI75" s="359">
        <f t="shared" ca="1" si="31"/>
        <v>0</v>
      </c>
      <c r="AJ75" s="359">
        <f t="shared" ca="1" si="31"/>
        <v>0</v>
      </c>
      <c r="AK75" s="359">
        <f t="shared" ca="1" si="31"/>
        <v>0</v>
      </c>
      <c r="AL75" s="359">
        <f t="shared" ca="1" si="31"/>
        <v>0</v>
      </c>
      <c r="AM75" s="359">
        <f t="shared" ca="1" si="31"/>
        <v>0</v>
      </c>
      <c r="AN75" s="359">
        <f t="shared" ca="1" si="31"/>
        <v>0</v>
      </c>
      <c r="AO75" s="359">
        <f t="shared" ca="1" si="31"/>
        <v>0</v>
      </c>
      <c r="AP75" s="359">
        <f t="shared" ca="1" si="31"/>
        <v>0</v>
      </c>
      <c r="AQ75" s="359">
        <f t="shared" ca="1" si="31"/>
        <v>0</v>
      </c>
      <c r="AR75" s="359">
        <f t="shared" ca="1" si="31"/>
        <v>0</v>
      </c>
      <c r="AS75" s="359">
        <f t="shared" ca="1" si="31"/>
        <v>0</v>
      </c>
      <c r="AT75" s="359">
        <f t="shared" ca="1" si="31"/>
        <v>0</v>
      </c>
      <c r="AU75" s="359">
        <f t="shared" ca="1" si="31"/>
        <v>0</v>
      </c>
      <c r="AV75" s="359">
        <f t="shared" ca="1" si="31"/>
        <v>0</v>
      </c>
      <c r="AW75" s="359">
        <f t="shared" ca="1" si="31"/>
        <v>0</v>
      </c>
      <c r="AX75" s="359">
        <f t="shared" ca="1" si="31"/>
        <v>0</v>
      </c>
      <c r="AY75" s="359">
        <f t="shared" ca="1" si="31"/>
        <v>0</v>
      </c>
      <c r="AZ75" s="359">
        <f t="shared" ca="1" si="31"/>
        <v>0</v>
      </c>
      <c r="BA75" s="359">
        <f t="shared" ca="1" si="31"/>
        <v>0</v>
      </c>
      <c r="BB75" s="359">
        <f t="shared" ca="1" si="31"/>
        <v>0</v>
      </c>
      <c r="BC75" s="359">
        <f t="shared" ca="1" si="31"/>
        <v>0</v>
      </c>
      <c r="BD75" s="359">
        <f t="shared" ca="1" si="31"/>
        <v>0</v>
      </c>
      <c r="BE75" s="359">
        <f t="shared" ca="1" si="31"/>
        <v>0</v>
      </c>
      <c r="BF75" s="359">
        <f t="shared" ca="1" si="31"/>
        <v>0</v>
      </c>
      <c r="BG75" s="359">
        <f t="shared" ca="1" si="31"/>
        <v>0</v>
      </c>
      <c r="BH75" s="359">
        <f t="shared" ca="1" si="31"/>
        <v>0</v>
      </c>
      <c r="BI75" s="359">
        <f t="shared" ca="1" si="31"/>
        <v>0</v>
      </c>
      <c r="BJ75" s="359">
        <f t="shared" ca="1" si="31"/>
        <v>0</v>
      </c>
      <c r="BK75" s="359">
        <f t="shared" ca="1" si="31"/>
        <v>0</v>
      </c>
      <c r="BL75" s="359">
        <f t="shared" ca="1" si="31"/>
        <v>0</v>
      </c>
      <c r="BM75" s="359">
        <f t="shared" ca="1" si="31"/>
        <v>0</v>
      </c>
      <c r="BN75" s="359">
        <f t="shared" ref="BN75:DQ75" ca="1" si="32">OFFSET($C8,0,157-COLUMN(),)</f>
        <v>0</v>
      </c>
      <c r="BO75" s="359">
        <f t="shared" ca="1" si="32"/>
        <v>0</v>
      </c>
      <c r="BP75" s="359">
        <f t="shared" ca="1" si="32"/>
        <v>0</v>
      </c>
      <c r="BQ75" s="359">
        <f t="shared" ca="1" si="32"/>
        <v>0</v>
      </c>
      <c r="BR75" s="359">
        <f t="shared" ca="1" si="32"/>
        <v>0</v>
      </c>
      <c r="BS75" s="359">
        <f t="shared" ca="1" si="32"/>
        <v>0</v>
      </c>
      <c r="BT75" s="359">
        <f t="shared" ca="1" si="32"/>
        <v>0</v>
      </c>
      <c r="BU75" s="359">
        <f t="shared" ca="1" si="32"/>
        <v>0</v>
      </c>
      <c r="BV75" s="359">
        <f t="shared" ca="1" si="32"/>
        <v>0</v>
      </c>
      <c r="BW75" s="359">
        <f t="shared" ca="1" si="32"/>
        <v>0</v>
      </c>
      <c r="BX75" s="359">
        <f t="shared" ca="1" si="32"/>
        <v>0</v>
      </c>
      <c r="BY75" s="359">
        <f t="shared" ca="1" si="32"/>
        <v>0</v>
      </c>
      <c r="BZ75" s="359">
        <f t="shared" ca="1" si="32"/>
        <v>0</v>
      </c>
      <c r="CA75" s="359">
        <f t="shared" ca="1" si="32"/>
        <v>0</v>
      </c>
      <c r="CB75" s="359">
        <f t="shared" ca="1" si="32"/>
        <v>0</v>
      </c>
      <c r="CC75" s="359">
        <f t="shared" ca="1" si="32"/>
        <v>0</v>
      </c>
      <c r="CD75" s="359">
        <f t="shared" ca="1" si="32"/>
        <v>0</v>
      </c>
      <c r="CE75" s="359">
        <f t="shared" ca="1" si="32"/>
        <v>0</v>
      </c>
      <c r="CF75" s="359">
        <f t="shared" ca="1" si="32"/>
        <v>0</v>
      </c>
      <c r="CG75" s="359">
        <f t="shared" ca="1" si="32"/>
        <v>0</v>
      </c>
      <c r="CH75" s="359">
        <f t="shared" ca="1" si="32"/>
        <v>0</v>
      </c>
      <c r="CI75" s="359">
        <f t="shared" ca="1" si="32"/>
        <v>0</v>
      </c>
      <c r="CJ75" s="359">
        <f t="shared" ca="1" si="32"/>
        <v>0</v>
      </c>
      <c r="CK75" s="359">
        <f t="shared" ca="1" si="32"/>
        <v>0</v>
      </c>
      <c r="CL75" s="359">
        <f t="shared" ca="1" si="32"/>
        <v>0</v>
      </c>
      <c r="CM75" s="359">
        <f t="shared" ca="1" si="32"/>
        <v>0</v>
      </c>
      <c r="CN75" s="359">
        <f t="shared" ca="1" si="32"/>
        <v>0</v>
      </c>
      <c r="CO75" s="359">
        <f t="shared" ca="1" si="32"/>
        <v>0</v>
      </c>
      <c r="CP75" s="359">
        <f t="shared" ca="1" si="32"/>
        <v>0</v>
      </c>
      <c r="CQ75" s="359">
        <f t="shared" ca="1" si="32"/>
        <v>0</v>
      </c>
      <c r="CR75" s="359">
        <f t="shared" ca="1" si="32"/>
        <v>0</v>
      </c>
      <c r="CS75" s="359">
        <f t="shared" ca="1" si="32"/>
        <v>0</v>
      </c>
      <c r="CT75" s="359">
        <f t="shared" ca="1" si="32"/>
        <v>0</v>
      </c>
      <c r="CU75" s="359">
        <f t="shared" ca="1" si="32"/>
        <v>0</v>
      </c>
      <c r="CV75" s="359">
        <f t="shared" ca="1" si="32"/>
        <v>0</v>
      </c>
      <c r="CW75" s="359">
        <f t="shared" ca="1" si="32"/>
        <v>0</v>
      </c>
      <c r="CX75" s="359">
        <f t="shared" ca="1" si="32"/>
        <v>0</v>
      </c>
      <c r="CY75" s="359">
        <f t="shared" ca="1" si="32"/>
        <v>0</v>
      </c>
      <c r="CZ75" s="359">
        <f t="shared" ca="1" si="32"/>
        <v>0</v>
      </c>
      <c r="DA75" s="359">
        <f t="shared" ca="1" si="32"/>
        <v>0</v>
      </c>
      <c r="DB75" s="359">
        <f t="shared" ca="1" si="32"/>
        <v>0</v>
      </c>
      <c r="DC75" s="359">
        <f t="shared" ca="1" si="32"/>
        <v>0</v>
      </c>
      <c r="DD75" s="359">
        <f t="shared" ca="1" si="32"/>
        <v>0</v>
      </c>
      <c r="DE75" s="359">
        <f t="shared" ca="1" si="32"/>
        <v>0</v>
      </c>
      <c r="DF75" s="359">
        <f t="shared" ca="1" si="32"/>
        <v>0</v>
      </c>
      <c r="DG75" s="359">
        <f t="shared" ca="1" si="32"/>
        <v>0</v>
      </c>
      <c r="DH75" s="359">
        <f t="shared" ca="1" si="32"/>
        <v>0</v>
      </c>
      <c r="DI75" s="359">
        <f t="shared" ca="1" si="32"/>
        <v>0</v>
      </c>
      <c r="DJ75" s="359">
        <f t="shared" ca="1" si="32"/>
        <v>0</v>
      </c>
      <c r="DK75" s="359">
        <f t="shared" ca="1" si="32"/>
        <v>0</v>
      </c>
      <c r="DL75" s="359">
        <f t="shared" ca="1" si="32"/>
        <v>0</v>
      </c>
      <c r="DM75" s="359">
        <f t="shared" ca="1" si="32"/>
        <v>4.7187799999999998</v>
      </c>
      <c r="DN75" s="359" t="e">
        <f t="shared" ca="1" si="32"/>
        <v>#REF!</v>
      </c>
      <c r="DO75" s="359" t="e">
        <f t="shared" ca="1" si="32"/>
        <v>#REF!</v>
      </c>
      <c r="DP75" s="359">
        <f t="shared" ca="1" si="32"/>
        <v>4.4887825499999998</v>
      </c>
      <c r="DQ75" s="359">
        <f t="shared" ca="1" si="32"/>
        <v>4.34756768</v>
      </c>
      <c r="DR75" s="359">
        <f t="shared" ca="1" si="24"/>
        <v>4.5967950100000001</v>
      </c>
      <c r="DS75" s="359">
        <f t="shared" ca="1" si="20"/>
        <v>4.5403205499999997</v>
      </c>
      <c r="DT75" s="359">
        <f t="shared" ca="1" si="20"/>
        <v>4.1440536400000001</v>
      </c>
      <c r="DU75" s="359">
        <f t="shared" ca="1" si="20"/>
        <v>4.63459588</v>
      </c>
      <c r="DV75" s="359">
        <f t="shared" ca="1" si="20"/>
        <v>4.8817685400000004</v>
      </c>
      <c r="DW75" s="359">
        <f t="shared" ca="1" si="20"/>
        <v>4.7543476799999995</v>
      </c>
      <c r="DX75" s="359">
        <f t="shared" ca="1" si="20"/>
        <v>4.4769954299999997</v>
      </c>
      <c r="DY75" s="359">
        <f t="shared" ca="1" si="20"/>
        <v>4.8292816399999996</v>
      </c>
      <c r="DZ75" s="359">
        <f t="shared" ca="1" si="20"/>
        <v>4.9667997399999999</v>
      </c>
      <c r="EA75" s="359">
        <f t="shared" ca="1" si="20"/>
        <v>5.6328978899999997</v>
      </c>
      <c r="EB75" s="359">
        <f t="shared" ca="1" si="20"/>
        <v>6.5903075700000002</v>
      </c>
      <c r="EC75" s="359">
        <f t="shared" ca="1" si="20"/>
        <v>6.3042127800000003</v>
      </c>
      <c r="ED75" s="359">
        <f t="shared" ca="1" si="20"/>
        <v>6.4476132499999999</v>
      </c>
      <c r="EE75" s="359">
        <f t="shared" ca="1" si="20"/>
        <v>6.3361836199999999</v>
      </c>
      <c r="EF75" s="359">
        <f t="shared" ca="1" si="20"/>
        <v>6.8170439800000002</v>
      </c>
      <c r="EG75" s="359">
        <f t="shared" ca="1" si="20"/>
        <v>7.2157531500000003</v>
      </c>
      <c r="EH75" s="359">
        <f t="shared" ca="1" si="20"/>
        <v>7.1144064699999996</v>
      </c>
      <c r="EI75" s="359">
        <f t="shared" ca="1" si="21"/>
        <v>7.2117712200000001</v>
      </c>
      <c r="EJ75" s="359">
        <f t="shared" ca="1" si="21"/>
        <v>7.3803024700000002</v>
      </c>
      <c r="EK75" s="359">
        <f t="shared" ca="1" si="20"/>
        <v>7.55</v>
      </c>
      <c r="EL75" s="359">
        <f t="shared" ca="1" si="20"/>
        <v>7.2242605700000002</v>
      </c>
      <c r="EM75" s="359">
        <f t="shared" ca="1" si="20"/>
        <v>7.367</v>
      </c>
      <c r="EN75" s="359">
        <f t="shared" ca="1" si="20"/>
        <v>6.8342749999999999</v>
      </c>
      <c r="EO75" s="359">
        <f t="shared" ca="1" si="20"/>
        <v>6.32</v>
      </c>
      <c r="EP75" s="359">
        <f t="shared" ca="1" si="20"/>
        <v>6.84</v>
      </c>
      <c r="EQ75" s="359">
        <f t="shared" ca="1" si="20"/>
        <v>7.27</v>
      </c>
      <c r="ER75" s="359">
        <f t="shared" ca="1" si="20"/>
        <v>6.97</v>
      </c>
      <c r="ES75" s="359">
        <f t="shared" ca="1" si="20"/>
        <v>6.69</v>
      </c>
      <c r="ET75" s="359">
        <f t="shared" ca="1" si="20"/>
        <v>6.5610030000000004</v>
      </c>
      <c r="EU75" s="359">
        <f t="shared" ca="1" si="20"/>
        <v>6.9332779999999996</v>
      </c>
      <c r="EV75" s="359">
        <f t="shared" ca="1" si="20"/>
        <v>6.3657329999999996</v>
      </c>
      <c r="EW75" s="359">
        <f t="shared" ca="1" si="20"/>
        <v>5.2478990000000003</v>
      </c>
      <c r="EX75" s="359">
        <f t="shared" ca="1" si="20"/>
        <v>4.4774102000000005</v>
      </c>
      <c r="EY75" s="359">
        <f t="shared" ca="1" si="20"/>
        <v>4.7588415700000004</v>
      </c>
      <c r="EZ75" s="359">
        <f t="shared" ca="1" si="20"/>
        <v>4.31149351</v>
      </c>
      <c r="FA75" s="360">
        <f t="shared" ca="1" si="20"/>
        <v>4.0471820000000003</v>
      </c>
    </row>
    <row r="76" spans="1:157" s="195" customFormat="1" x14ac:dyDescent="0.25">
      <c r="A76" t="s">
        <v>307</v>
      </c>
      <c r="B76" s="358">
        <f t="shared" ref="B76:BM76" ca="1" si="33">OFFSET($C9,0,157-COLUMN(),)</f>
        <v>0</v>
      </c>
      <c r="C76" s="359">
        <f t="shared" ca="1" si="33"/>
        <v>0</v>
      </c>
      <c r="D76" s="359">
        <f t="shared" ca="1" si="33"/>
        <v>0</v>
      </c>
      <c r="E76" s="359">
        <f t="shared" ca="1" si="33"/>
        <v>0</v>
      </c>
      <c r="F76" s="359">
        <f t="shared" ca="1" si="33"/>
        <v>0</v>
      </c>
      <c r="G76" s="359">
        <f t="shared" ca="1" si="33"/>
        <v>0</v>
      </c>
      <c r="H76" s="359">
        <f t="shared" ca="1" si="33"/>
        <v>0</v>
      </c>
      <c r="I76" s="359">
        <f t="shared" ca="1" si="33"/>
        <v>0</v>
      </c>
      <c r="J76" s="359">
        <f t="shared" ca="1" si="33"/>
        <v>0</v>
      </c>
      <c r="K76" s="359">
        <f t="shared" ca="1" si="33"/>
        <v>0</v>
      </c>
      <c r="L76" s="359">
        <f t="shared" ca="1" si="33"/>
        <v>0</v>
      </c>
      <c r="M76" s="359">
        <f t="shared" ca="1" si="33"/>
        <v>0</v>
      </c>
      <c r="N76" s="359">
        <f t="shared" ca="1" si="33"/>
        <v>0</v>
      </c>
      <c r="O76" s="359">
        <f t="shared" ca="1" si="33"/>
        <v>0</v>
      </c>
      <c r="P76" s="359">
        <f t="shared" ca="1" si="33"/>
        <v>0</v>
      </c>
      <c r="Q76" s="359">
        <f t="shared" ca="1" si="33"/>
        <v>0</v>
      </c>
      <c r="R76" s="359">
        <f t="shared" ca="1" si="33"/>
        <v>0</v>
      </c>
      <c r="S76" s="359">
        <f t="shared" ca="1" si="33"/>
        <v>0</v>
      </c>
      <c r="T76" s="359">
        <f t="shared" ca="1" si="33"/>
        <v>0</v>
      </c>
      <c r="U76" s="359">
        <f t="shared" ca="1" si="33"/>
        <v>0</v>
      </c>
      <c r="V76" s="359">
        <f t="shared" ca="1" si="33"/>
        <v>0</v>
      </c>
      <c r="W76" s="359">
        <f t="shared" ca="1" si="33"/>
        <v>0</v>
      </c>
      <c r="X76" s="359">
        <f t="shared" ca="1" si="33"/>
        <v>0</v>
      </c>
      <c r="Y76" s="359">
        <f t="shared" ca="1" si="33"/>
        <v>0</v>
      </c>
      <c r="Z76" s="359">
        <f t="shared" ca="1" si="33"/>
        <v>0</v>
      </c>
      <c r="AA76" s="359">
        <f t="shared" ca="1" si="33"/>
        <v>0</v>
      </c>
      <c r="AB76" s="359">
        <f t="shared" ca="1" si="33"/>
        <v>0</v>
      </c>
      <c r="AC76" s="359">
        <f t="shared" ca="1" si="33"/>
        <v>0</v>
      </c>
      <c r="AD76" s="359">
        <f t="shared" ca="1" si="33"/>
        <v>0</v>
      </c>
      <c r="AE76" s="359">
        <f t="shared" ca="1" si="33"/>
        <v>0</v>
      </c>
      <c r="AF76" s="359">
        <f t="shared" ca="1" si="33"/>
        <v>0</v>
      </c>
      <c r="AG76" s="359">
        <f t="shared" ca="1" si="33"/>
        <v>0</v>
      </c>
      <c r="AH76" s="359">
        <f t="shared" ca="1" si="33"/>
        <v>0</v>
      </c>
      <c r="AI76" s="359">
        <f t="shared" ca="1" si="33"/>
        <v>0</v>
      </c>
      <c r="AJ76" s="359">
        <f t="shared" ca="1" si="33"/>
        <v>0</v>
      </c>
      <c r="AK76" s="359">
        <f t="shared" ca="1" si="33"/>
        <v>0</v>
      </c>
      <c r="AL76" s="359">
        <f t="shared" ca="1" si="33"/>
        <v>0</v>
      </c>
      <c r="AM76" s="359">
        <f t="shared" ca="1" si="33"/>
        <v>0</v>
      </c>
      <c r="AN76" s="359">
        <f t="shared" ca="1" si="33"/>
        <v>0</v>
      </c>
      <c r="AO76" s="359">
        <f t="shared" ca="1" si="33"/>
        <v>0</v>
      </c>
      <c r="AP76" s="359">
        <f t="shared" ca="1" si="33"/>
        <v>0</v>
      </c>
      <c r="AQ76" s="359">
        <f t="shared" ca="1" si="33"/>
        <v>0</v>
      </c>
      <c r="AR76" s="359">
        <f t="shared" ca="1" si="33"/>
        <v>0</v>
      </c>
      <c r="AS76" s="359">
        <f t="shared" ca="1" si="33"/>
        <v>0</v>
      </c>
      <c r="AT76" s="359">
        <f t="shared" ca="1" si="33"/>
        <v>0</v>
      </c>
      <c r="AU76" s="359">
        <f t="shared" ca="1" si="33"/>
        <v>0</v>
      </c>
      <c r="AV76" s="359">
        <f t="shared" ca="1" si="33"/>
        <v>0</v>
      </c>
      <c r="AW76" s="359">
        <f t="shared" ca="1" si="33"/>
        <v>0</v>
      </c>
      <c r="AX76" s="359">
        <f t="shared" ca="1" si="33"/>
        <v>0</v>
      </c>
      <c r="AY76" s="359">
        <f t="shared" ca="1" si="33"/>
        <v>0</v>
      </c>
      <c r="AZ76" s="359">
        <f t="shared" ca="1" si="33"/>
        <v>0</v>
      </c>
      <c r="BA76" s="359">
        <f t="shared" ca="1" si="33"/>
        <v>0</v>
      </c>
      <c r="BB76" s="359">
        <f t="shared" ca="1" si="33"/>
        <v>0</v>
      </c>
      <c r="BC76" s="359">
        <f t="shared" ca="1" si="33"/>
        <v>0</v>
      </c>
      <c r="BD76" s="359">
        <f t="shared" ca="1" si="33"/>
        <v>0</v>
      </c>
      <c r="BE76" s="359">
        <f t="shared" ca="1" si="33"/>
        <v>0</v>
      </c>
      <c r="BF76" s="359">
        <f t="shared" ca="1" si="33"/>
        <v>0</v>
      </c>
      <c r="BG76" s="359">
        <f t="shared" ca="1" si="33"/>
        <v>0</v>
      </c>
      <c r="BH76" s="359">
        <f t="shared" ca="1" si="33"/>
        <v>0</v>
      </c>
      <c r="BI76" s="359">
        <f t="shared" ca="1" si="33"/>
        <v>0</v>
      </c>
      <c r="BJ76" s="359">
        <f t="shared" ca="1" si="33"/>
        <v>0</v>
      </c>
      <c r="BK76" s="359">
        <f t="shared" ca="1" si="33"/>
        <v>0</v>
      </c>
      <c r="BL76" s="359">
        <f t="shared" ca="1" si="33"/>
        <v>0</v>
      </c>
      <c r="BM76" s="359">
        <f t="shared" ca="1" si="33"/>
        <v>0</v>
      </c>
      <c r="BN76" s="359">
        <f t="shared" ref="BN76:DQ76" ca="1" si="34">OFFSET($C9,0,157-COLUMN(),)</f>
        <v>0</v>
      </c>
      <c r="BO76" s="359">
        <f t="shared" ca="1" si="34"/>
        <v>0</v>
      </c>
      <c r="BP76" s="359">
        <f t="shared" ca="1" si="34"/>
        <v>0</v>
      </c>
      <c r="BQ76" s="359">
        <f t="shared" ca="1" si="34"/>
        <v>0</v>
      </c>
      <c r="BR76" s="359">
        <f t="shared" ca="1" si="34"/>
        <v>0</v>
      </c>
      <c r="BS76" s="359">
        <f t="shared" ca="1" si="34"/>
        <v>0</v>
      </c>
      <c r="BT76" s="359">
        <f t="shared" ca="1" si="34"/>
        <v>0</v>
      </c>
      <c r="BU76" s="359">
        <f t="shared" ca="1" si="34"/>
        <v>0</v>
      </c>
      <c r="BV76" s="359">
        <f t="shared" ca="1" si="34"/>
        <v>0</v>
      </c>
      <c r="BW76" s="359">
        <f t="shared" ca="1" si="34"/>
        <v>0</v>
      </c>
      <c r="BX76" s="359">
        <f t="shared" ca="1" si="34"/>
        <v>0</v>
      </c>
      <c r="BY76" s="359">
        <f t="shared" ca="1" si="34"/>
        <v>0</v>
      </c>
      <c r="BZ76" s="359">
        <f t="shared" ca="1" si="34"/>
        <v>0</v>
      </c>
      <c r="CA76" s="359">
        <f t="shared" ca="1" si="34"/>
        <v>0</v>
      </c>
      <c r="CB76" s="359">
        <f t="shared" ca="1" si="34"/>
        <v>0</v>
      </c>
      <c r="CC76" s="359">
        <f t="shared" ca="1" si="34"/>
        <v>0</v>
      </c>
      <c r="CD76" s="359">
        <f t="shared" ca="1" si="34"/>
        <v>0</v>
      </c>
      <c r="CE76" s="359">
        <f t="shared" ca="1" si="34"/>
        <v>0</v>
      </c>
      <c r="CF76" s="359">
        <f t="shared" ca="1" si="34"/>
        <v>0</v>
      </c>
      <c r="CG76" s="359">
        <f t="shared" ca="1" si="34"/>
        <v>0</v>
      </c>
      <c r="CH76" s="359">
        <f t="shared" ca="1" si="34"/>
        <v>0</v>
      </c>
      <c r="CI76" s="359">
        <f t="shared" ca="1" si="34"/>
        <v>0</v>
      </c>
      <c r="CJ76" s="359">
        <f t="shared" ca="1" si="34"/>
        <v>0</v>
      </c>
      <c r="CK76" s="359">
        <f t="shared" ca="1" si="34"/>
        <v>0</v>
      </c>
      <c r="CL76" s="359">
        <f t="shared" ca="1" si="34"/>
        <v>0</v>
      </c>
      <c r="CM76" s="359">
        <f t="shared" ca="1" si="34"/>
        <v>0</v>
      </c>
      <c r="CN76" s="359">
        <f t="shared" ca="1" si="34"/>
        <v>0</v>
      </c>
      <c r="CO76" s="359">
        <f t="shared" ca="1" si="34"/>
        <v>0</v>
      </c>
      <c r="CP76" s="359">
        <f t="shared" ca="1" si="34"/>
        <v>0</v>
      </c>
      <c r="CQ76" s="359">
        <f t="shared" ca="1" si="34"/>
        <v>0</v>
      </c>
      <c r="CR76" s="359">
        <f t="shared" ca="1" si="34"/>
        <v>0</v>
      </c>
      <c r="CS76" s="359">
        <f t="shared" ca="1" si="34"/>
        <v>0</v>
      </c>
      <c r="CT76" s="359">
        <f t="shared" ca="1" si="34"/>
        <v>0</v>
      </c>
      <c r="CU76" s="359">
        <f t="shared" ca="1" si="34"/>
        <v>0</v>
      </c>
      <c r="CV76" s="359">
        <f t="shared" ca="1" si="34"/>
        <v>0</v>
      </c>
      <c r="CW76" s="359">
        <f t="shared" ca="1" si="34"/>
        <v>0</v>
      </c>
      <c r="CX76" s="359">
        <f t="shared" ca="1" si="34"/>
        <v>0</v>
      </c>
      <c r="CY76" s="359">
        <f t="shared" ca="1" si="34"/>
        <v>0</v>
      </c>
      <c r="CZ76" s="359">
        <f t="shared" ca="1" si="34"/>
        <v>0</v>
      </c>
      <c r="DA76" s="359">
        <f t="shared" ca="1" si="34"/>
        <v>0</v>
      </c>
      <c r="DB76" s="359">
        <f t="shared" ca="1" si="34"/>
        <v>0</v>
      </c>
      <c r="DC76" s="359">
        <f t="shared" ca="1" si="34"/>
        <v>0</v>
      </c>
      <c r="DD76" s="359">
        <f t="shared" ca="1" si="34"/>
        <v>0</v>
      </c>
      <c r="DE76" s="359">
        <f t="shared" ca="1" si="34"/>
        <v>0</v>
      </c>
      <c r="DF76" s="359">
        <f t="shared" ca="1" si="34"/>
        <v>0</v>
      </c>
      <c r="DG76" s="359">
        <f t="shared" ca="1" si="34"/>
        <v>0</v>
      </c>
      <c r="DH76" s="359">
        <f t="shared" ca="1" si="34"/>
        <v>0</v>
      </c>
      <c r="DI76" s="359">
        <f t="shared" ca="1" si="34"/>
        <v>0</v>
      </c>
      <c r="DJ76" s="359">
        <f t="shared" ca="1" si="34"/>
        <v>0</v>
      </c>
      <c r="DK76" s="359">
        <f t="shared" ca="1" si="34"/>
        <v>0</v>
      </c>
      <c r="DL76" s="359">
        <f t="shared" ca="1" si="34"/>
        <v>0</v>
      </c>
      <c r="DM76" s="359">
        <f t="shared" ca="1" si="34"/>
        <v>16.369260000000001</v>
      </c>
      <c r="DN76" s="359" t="e">
        <f t="shared" ca="1" si="34"/>
        <v>#REF!</v>
      </c>
      <c r="DO76" s="359" t="e">
        <f t="shared" ca="1" si="34"/>
        <v>#REF!</v>
      </c>
      <c r="DP76" s="359">
        <f t="shared" ca="1" si="34"/>
        <v>15.59912233</v>
      </c>
      <c r="DQ76" s="359">
        <f t="shared" ca="1" si="34"/>
        <v>15.18394777</v>
      </c>
      <c r="DR76" s="359">
        <f t="shared" ca="1" si="24"/>
        <v>15.562616390000001</v>
      </c>
      <c r="DS76" s="359">
        <f t="shared" ca="1" si="20"/>
        <v>17.39634371</v>
      </c>
      <c r="DT76" s="359">
        <f t="shared" ca="1" si="20"/>
        <v>16.316679399999998</v>
      </c>
      <c r="DU76" s="359">
        <f t="shared" ca="1" si="20"/>
        <v>17.4912378</v>
      </c>
      <c r="DV76" s="359">
        <f t="shared" ca="1" si="20"/>
        <v>17.569483129999998</v>
      </c>
      <c r="DW76" s="359">
        <f t="shared" ca="1" si="20"/>
        <v>16.987170509999999</v>
      </c>
      <c r="DX76" s="359">
        <f t="shared" ca="1" si="20"/>
        <v>15.80911395</v>
      </c>
      <c r="DY76" s="359">
        <f t="shared" ca="1" si="20"/>
        <v>18.795171719999999</v>
      </c>
      <c r="DZ76" s="359">
        <f t="shared" ca="1" si="20"/>
        <v>18.722818759999999</v>
      </c>
      <c r="EA76" s="359">
        <f t="shared" ca="1" si="20"/>
        <v>20.366157270000002</v>
      </c>
      <c r="EB76" s="359">
        <f t="shared" ca="1" si="20"/>
        <v>22.579875210000001</v>
      </c>
      <c r="EC76" s="359">
        <f t="shared" ca="1" si="20"/>
        <v>21.660714720000001</v>
      </c>
      <c r="ED76" s="359">
        <f t="shared" ca="1" si="20"/>
        <v>21.702873819999997</v>
      </c>
      <c r="EE76" s="359">
        <f t="shared" ca="1" si="20"/>
        <v>23.251531920000001</v>
      </c>
      <c r="EF76" s="359">
        <f t="shared" ca="1" si="20"/>
        <v>24.238635450000004</v>
      </c>
      <c r="EG76" s="359">
        <f t="shared" ca="1" si="20"/>
        <v>24.798040009999998</v>
      </c>
      <c r="EH76" s="359">
        <f t="shared" ca="1" si="20"/>
        <v>24.212485170000001</v>
      </c>
      <c r="EI76" s="359">
        <f t="shared" ca="1" si="21"/>
        <v>24.337743019999998</v>
      </c>
      <c r="EJ76" s="359">
        <f t="shared" ca="1" si="21"/>
        <v>24.45594226</v>
      </c>
      <c r="EK76" s="359">
        <f t="shared" ca="1" si="20"/>
        <v>26.647289999999998</v>
      </c>
      <c r="EL76" s="359">
        <f t="shared" ca="1" si="20"/>
        <v>25.074533500000001</v>
      </c>
      <c r="EM76" s="359">
        <f t="shared" ca="1" si="20"/>
        <v>24.72</v>
      </c>
      <c r="EN76" s="359">
        <f t="shared" ca="1" si="20"/>
        <v>23.653594999999999</v>
      </c>
      <c r="EO76" s="359">
        <f t="shared" ca="1" si="20"/>
        <v>22.07</v>
      </c>
      <c r="EP76" s="359">
        <f t="shared" ca="1" si="20"/>
        <v>23.08</v>
      </c>
      <c r="EQ76" s="359">
        <f t="shared" ca="1" si="20"/>
        <v>26.18</v>
      </c>
      <c r="ER76" s="359">
        <f t="shared" ca="1" si="20"/>
        <v>24.060000000000002</v>
      </c>
      <c r="ES76" s="359">
        <f t="shared" ca="1" si="20"/>
        <v>22.46</v>
      </c>
      <c r="ET76" s="359">
        <f t="shared" ca="1" si="20"/>
        <v>22.161451</v>
      </c>
      <c r="EU76" s="359">
        <f t="shared" ca="1" si="20"/>
        <v>22.635100000000001</v>
      </c>
      <c r="EV76" s="359">
        <f t="shared" ca="1" si="20"/>
        <v>21.849111000000001</v>
      </c>
      <c r="EW76" s="359">
        <f t="shared" ca="1" si="20"/>
        <v>20.792628999999998</v>
      </c>
      <c r="EX76" s="359">
        <f t="shared" ca="1" si="20"/>
        <v>18.002959709999999</v>
      </c>
      <c r="EY76" s="359">
        <f t="shared" ca="1" si="20"/>
        <v>18.44716756</v>
      </c>
      <c r="EZ76" s="359">
        <f t="shared" ca="1" si="20"/>
        <v>16.497802880000002</v>
      </c>
      <c r="FA76" s="360">
        <f t="shared" ca="1" si="20"/>
        <v>15.349515</v>
      </c>
    </row>
    <row r="77" spans="1:157" s="195" customFormat="1" x14ac:dyDescent="0.25">
      <c r="A77" t="s">
        <v>238</v>
      </c>
      <c r="B77" s="358">
        <f t="shared" ref="B77:BM77" ca="1" si="35">OFFSET($C10,0,157-COLUMN(),)</f>
        <v>0</v>
      </c>
      <c r="C77" s="359">
        <f t="shared" ca="1" si="35"/>
        <v>0</v>
      </c>
      <c r="D77" s="359">
        <f t="shared" ca="1" si="35"/>
        <v>0</v>
      </c>
      <c r="E77" s="359">
        <f t="shared" ca="1" si="35"/>
        <v>0</v>
      </c>
      <c r="F77" s="359">
        <f t="shared" ca="1" si="35"/>
        <v>0</v>
      </c>
      <c r="G77" s="359">
        <f t="shared" ca="1" si="35"/>
        <v>0</v>
      </c>
      <c r="H77" s="359">
        <f t="shared" ca="1" si="35"/>
        <v>0</v>
      </c>
      <c r="I77" s="359">
        <f t="shared" ca="1" si="35"/>
        <v>0</v>
      </c>
      <c r="J77" s="359">
        <f t="shared" ca="1" si="35"/>
        <v>0</v>
      </c>
      <c r="K77" s="359">
        <f t="shared" ca="1" si="35"/>
        <v>0</v>
      </c>
      <c r="L77" s="359">
        <f t="shared" ca="1" si="35"/>
        <v>0</v>
      </c>
      <c r="M77" s="359">
        <f t="shared" ca="1" si="35"/>
        <v>0</v>
      </c>
      <c r="N77" s="359">
        <f t="shared" ca="1" si="35"/>
        <v>0</v>
      </c>
      <c r="O77" s="359">
        <f t="shared" ca="1" si="35"/>
        <v>0</v>
      </c>
      <c r="P77" s="359">
        <f t="shared" ca="1" si="35"/>
        <v>0</v>
      </c>
      <c r="Q77" s="359">
        <f t="shared" ca="1" si="35"/>
        <v>0</v>
      </c>
      <c r="R77" s="359">
        <f t="shared" ca="1" si="35"/>
        <v>0</v>
      </c>
      <c r="S77" s="359">
        <f t="shared" ca="1" si="35"/>
        <v>0</v>
      </c>
      <c r="T77" s="359">
        <f t="shared" ca="1" si="35"/>
        <v>0</v>
      </c>
      <c r="U77" s="359">
        <f t="shared" ca="1" si="35"/>
        <v>0</v>
      </c>
      <c r="V77" s="359">
        <f t="shared" ca="1" si="35"/>
        <v>0</v>
      </c>
      <c r="W77" s="359">
        <f t="shared" ca="1" si="35"/>
        <v>0</v>
      </c>
      <c r="X77" s="359">
        <f t="shared" ca="1" si="35"/>
        <v>0</v>
      </c>
      <c r="Y77" s="359">
        <f t="shared" ca="1" si="35"/>
        <v>0</v>
      </c>
      <c r="Z77" s="359">
        <f t="shared" ca="1" si="35"/>
        <v>0</v>
      </c>
      <c r="AA77" s="359">
        <f t="shared" ca="1" si="35"/>
        <v>0</v>
      </c>
      <c r="AB77" s="359">
        <f t="shared" ca="1" si="35"/>
        <v>0</v>
      </c>
      <c r="AC77" s="359">
        <f t="shared" ca="1" si="35"/>
        <v>0</v>
      </c>
      <c r="AD77" s="359">
        <f t="shared" ca="1" si="35"/>
        <v>0</v>
      </c>
      <c r="AE77" s="359">
        <f t="shared" ca="1" si="35"/>
        <v>0</v>
      </c>
      <c r="AF77" s="359">
        <f t="shared" ca="1" si="35"/>
        <v>0</v>
      </c>
      <c r="AG77" s="359">
        <f t="shared" ca="1" si="35"/>
        <v>0</v>
      </c>
      <c r="AH77" s="359">
        <f t="shared" ca="1" si="35"/>
        <v>0</v>
      </c>
      <c r="AI77" s="359">
        <f t="shared" ca="1" si="35"/>
        <v>0</v>
      </c>
      <c r="AJ77" s="359">
        <f t="shared" ca="1" si="35"/>
        <v>0</v>
      </c>
      <c r="AK77" s="359">
        <f t="shared" ca="1" si="35"/>
        <v>0</v>
      </c>
      <c r="AL77" s="359">
        <f t="shared" ca="1" si="35"/>
        <v>0</v>
      </c>
      <c r="AM77" s="359">
        <f t="shared" ca="1" si="35"/>
        <v>0</v>
      </c>
      <c r="AN77" s="359">
        <f t="shared" ca="1" si="35"/>
        <v>0</v>
      </c>
      <c r="AO77" s="359">
        <f t="shared" ca="1" si="35"/>
        <v>0</v>
      </c>
      <c r="AP77" s="359">
        <f t="shared" ca="1" si="35"/>
        <v>0</v>
      </c>
      <c r="AQ77" s="359">
        <f t="shared" ca="1" si="35"/>
        <v>0</v>
      </c>
      <c r="AR77" s="359">
        <f t="shared" ca="1" si="35"/>
        <v>0</v>
      </c>
      <c r="AS77" s="359">
        <f t="shared" ca="1" si="35"/>
        <v>0</v>
      </c>
      <c r="AT77" s="359">
        <f t="shared" ca="1" si="35"/>
        <v>0</v>
      </c>
      <c r="AU77" s="359">
        <f t="shared" ca="1" si="35"/>
        <v>0</v>
      </c>
      <c r="AV77" s="359">
        <f t="shared" ca="1" si="35"/>
        <v>0</v>
      </c>
      <c r="AW77" s="359">
        <f t="shared" ca="1" si="35"/>
        <v>0</v>
      </c>
      <c r="AX77" s="359">
        <f t="shared" ca="1" si="35"/>
        <v>0</v>
      </c>
      <c r="AY77" s="359">
        <f t="shared" ca="1" si="35"/>
        <v>0</v>
      </c>
      <c r="AZ77" s="359">
        <f t="shared" ca="1" si="35"/>
        <v>0</v>
      </c>
      <c r="BA77" s="359">
        <f t="shared" ca="1" si="35"/>
        <v>0</v>
      </c>
      <c r="BB77" s="359">
        <f t="shared" ca="1" si="35"/>
        <v>0</v>
      </c>
      <c r="BC77" s="359">
        <f t="shared" ca="1" si="35"/>
        <v>0</v>
      </c>
      <c r="BD77" s="359">
        <f t="shared" ca="1" si="35"/>
        <v>0</v>
      </c>
      <c r="BE77" s="359">
        <f t="shared" ca="1" si="35"/>
        <v>0</v>
      </c>
      <c r="BF77" s="359">
        <f t="shared" ca="1" si="35"/>
        <v>0</v>
      </c>
      <c r="BG77" s="359">
        <f t="shared" ca="1" si="35"/>
        <v>0</v>
      </c>
      <c r="BH77" s="359">
        <f t="shared" ca="1" si="35"/>
        <v>0</v>
      </c>
      <c r="BI77" s="359">
        <f t="shared" ca="1" si="35"/>
        <v>0</v>
      </c>
      <c r="BJ77" s="359">
        <f t="shared" ca="1" si="35"/>
        <v>0</v>
      </c>
      <c r="BK77" s="359">
        <f t="shared" ca="1" si="35"/>
        <v>0</v>
      </c>
      <c r="BL77" s="359">
        <f t="shared" ca="1" si="35"/>
        <v>0</v>
      </c>
      <c r="BM77" s="359">
        <f t="shared" ca="1" si="35"/>
        <v>0</v>
      </c>
      <c r="BN77" s="359">
        <f t="shared" ref="BN77:DQ77" ca="1" si="36">OFFSET($C10,0,157-COLUMN(),)</f>
        <v>0</v>
      </c>
      <c r="BO77" s="359">
        <f t="shared" ca="1" si="36"/>
        <v>0</v>
      </c>
      <c r="BP77" s="359">
        <f t="shared" ca="1" si="36"/>
        <v>0</v>
      </c>
      <c r="BQ77" s="359">
        <f t="shared" ca="1" si="36"/>
        <v>0</v>
      </c>
      <c r="BR77" s="359">
        <f t="shared" ca="1" si="36"/>
        <v>0</v>
      </c>
      <c r="BS77" s="359">
        <f t="shared" ca="1" si="36"/>
        <v>0</v>
      </c>
      <c r="BT77" s="359">
        <f t="shared" ca="1" si="36"/>
        <v>0</v>
      </c>
      <c r="BU77" s="359">
        <f t="shared" ca="1" si="36"/>
        <v>0</v>
      </c>
      <c r="BV77" s="359">
        <f t="shared" ca="1" si="36"/>
        <v>0</v>
      </c>
      <c r="BW77" s="359">
        <f t="shared" ca="1" si="36"/>
        <v>0</v>
      </c>
      <c r="BX77" s="359">
        <f t="shared" ca="1" si="36"/>
        <v>0</v>
      </c>
      <c r="BY77" s="359">
        <f t="shared" ca="1" si="36"/>
        <v>0</v>
      </c>
      <c r="BZ77" s="359">
        <f t="shared" ca="1" si="36"/>
        <v>0</v>
      </c>
      <c r="CA77" s="359">
        <f t="shared" ca="1" si="36"/>
        <v>0</v>
      </c>
      <c r="CB77" s="359">
        <f t="shared" ca="1" si="36"/>
        <v>0</v>
      </c>
      <c r="CC77" s="359">
        <f t="shared" ca="1" si="36"/>
        <v>0</v>
      </c>
      <c r="CD77" s="359">
        <f t="shared" ca="1" si="36"/>
        <v>0</v>
      </c>
      <c r="CE77" s="359">
        <f t="shared" ca="1" si="36"/>
        <v>0</v>
      </c>
      <c r="CF77" s="359">
        <f t="shared" ca="1" si="36"/>
        <v>0</v>
      </c>
      <c r="CG77" s="359">
        <f t="shared" ca="1" si="36"/>
        <v>0</v>
      </c>
      <c r="CH77" s="359">
        <f t="shared" ca="1" si="36"/>
        <v>0</v>
      </c>
      <c r="CI77" s="359">
        <f t="shared" ca="1" si="36"/>
        <v>0</v>
      </c>
      <c r="CJ77" s="359">
        <f t="shared" ca="1" si="36"/>
        <v>0</v>
      </c>
      <c r="CK77" s="359">
        <f t="shared" ca="1" si="36"/>
        <v>0</v>
      </c>
      <c r="CL77" s="359">
        <f t="shared" ca="1" si="36"/>
        <v>0</v>
      </c>
      <c r="CM77" s="359">
        <f t="shared" ca="1" si="36"/>
        <v>0</v>
      </c>
      <c r="CN77" s="359">
        <f t="shared" ca="1" si="36"/>
        <v>0</v>
      </c>
      <c r="CO77" s="359">
        <f t="shared" ca="1" si="36"/>
        <v>0</v>
      </c>
      <c r="CP77" s="359">
        <f t="shared" ca="1" si="36"/>
        <v>0</v>
      </c>
      <c r="CQ77" s="359">
        <f t="shared" ca="1" si="36"/>
        <v>0</v>
      </c>
      <c r="CR77" s="359">
        <f t="shared" ca="1" si="36"/>
        <v>0</v>
      </c>
      <c r="CS77" s="359">
        <f t="shared" ca="1" si="36"/>
        <v>0</v>
      </c>
      <c r="CT77" s="359">
        <f t="shared" ca="1" si="36"/>
        <v>0</v>
      </c>
      <c r="CU77" s="359">
        <f t="shared" ca="1" si="36"/>
        <v>0</v>
      </c>
      <c r="CV77" s="359">
        <f t="shared" ca="1" si="36"/>
        <v>0</v>
      </c>
      <c r="CW77" s="359">
        <f t="shared" ca="1" si="36"/>
        <v>0</v>
      </c>
      <c r="CX77" s="359">
        <f t="shared" ca="1" si="36"/>
        <v>0</v>
      </c>
      <c r="CY77" s="359">
        <f t="shared" ca="1" si="36"/>
        <v>0</v>
      </c>
      <c r="CZ77" s="359">
        <f t="shared" ca="1" si="36"/>
        <v>0</v>
      </c>
      <c r="DA77" s="359">
        <f t="shared" ca="1" si="36"/>
        <v>0</v>
      </c>
      <c r="DB77" s="359">
        <f t="shared" ca="1" si="36"/>
        <v>0</v>
      </c>
      <c r="DC77" s="359">
        <f t="shared" ca="1" si="36"/>
        <v>0</v>
      </c>
      <c r="DD77" s="359">
        <f t="shared" ca="1" si="36"/>
        <v>0</v>
      </c>
      <c r="DE77" s="359">
        <f t="shared" ca="1" si="36"/>
        <v>0</v>
      </c>
      <c r="DF77" s="359">
        <f t="shared" ca="1" si="36"/>
        <v>0</v>
      </c>
      <c r="DG77" s="359">
        <f t="shared" ca="1" si="36"/>
        <v>0</v>
      </c>
      <c r="DH77" s="359">
        <f t="shared" ca="1" si="36"/>
        <v>0</v>
      </c>
      <c r="DI77" s="359">
        <f t="shared" ca="1" si="36"/>
        <v>0</v>
      </c>
      <c r="DJ77" s="359">
        <f t="shared" ca="1" si="36"/>
        <v>0</v>
      </c>
      <c r="DK77" s="359">
        <f t="shared" ca="1" si="36"/>
        <v>0</v>
      </c>
      <c r="DL77" s="359">
        <f t="shared" ca="1" si="36"/>
        <v>0</v>
      </c>
      <c r="DM77" s="359">
        <f t="shared" ca="1" si="36"/>
        <v>-1.059153</v>
      </c>
      <c r="DN77" s="359" t="e">
        <f t="shared" ca="1" si="36"/>
        <v>#REF!</v>
      </c>
      <c r="DO77" s="359" t="e">
        <f t="shared" ca="1" si="36"/>
        <v>#REF!</v>
      </c>
      <c r="DP77" s="359">
        <f t="shared" ca="1" si="36"/>
        <v>-0.76319000000000004</v>
      </c>
      <c r="DQ77" s="359">
        <f t="shared" ca="1" si="36"/>
        <v>-1.0326759999999999</v>
      </c>
      <c r="DR77" s="359">
        <f t="shared" ca="1" si="24"/>
        <v>1.025576</v>
      </c>
      <c r="DS77" s="359">
        <f t="shared" ca="1" si="20"/>
        <v>1.8138540000000001</v>
      </c>
      <c r="DT77" s="359">
        <f t="shared" ca="1" si="20"/>
        <v>0.97752899999999998</v>
      </c>
      <c r="DU77" s="359">
        <f t="shared" ca="1" si="20"/>
        <v>1.3448420000000001</v>
      </c>
      <c r="DV77" s="359">
        <f t="shared" ca="1" si="20"/>
        <v>3.9308719999999999</v>
      </c>
      <c r="DW77" s="359">
        <f t="shared" ca="1" si="20"/>
        <v>3.1211289999999998</v>
      </c>
      <c r="DX77" s="359">
        <f t="shared" ca="1" si="20"/>
        <v>2.7665820000000001</v>
      </c>
      <c r="DY77" s="359">
        <f t="shared" ca="1" si="20"/>
        <v>4.0384510000000002</v>
      </c>
      <c r="DZ77" s="359">
        <f t="shared" ca="1" si="20"/>
        <v>3.1050849999999999</v>
      </c>
      <c r="EA77" s="359">
        <f t="shared" ca="1" si="20"/>
        <v>1.4730479999999999</v>
      </c>
      <c r="EB77" s="359">
        <f t="shared" ca="1" si="20"/>
        <v>0.17397699999999999</v>
      </c>
      <c r="EC77" s="359">
        <f t="shared" ca="1" si="20"/>
        <v>2.2041225099999999</v>
      </c>
      <c r="ED77" s="359">
        <f t="shared" ca="1" si="20"/>
        <v>4.7438549999999999</v>
      </c>
      <c r="EE77" s="359">
        <f t="shared" ca="1" si="20"/>
        <v>6.2028879999999997</v>
      </c>
      <c r="EF77" s="359">
        <f t="shared" ca="1" si="20"/>
        <v>8.3711260000000003</v>
      </c>
      <c r="EG77" s="359">
        <f t="shared" ca="1" si="20"/>
        <v>8.0431869999999996</v>
      </c>
      <c r="EH77" s="359">
        <f t="shared" ca="1" si="20"/>
        <v>7.8547440000000002</v>
      </c>
      <c r="EI77" s="359">
        <f t="shared" ca="1" si="21"/>
        <v>7.6830230000000004</v>
      </c>
      <c r="EJ77" s="359">
        <f t="shared" ca="1" si="21"/>
        <v>13.732053000000001</v>
      </c>
      <c r="EK77" s="359">
        <f t="shared" ca="1" si="20"/>
        <v>11.09</v>
      </c>
      <c r="EL77" s="359">
        <f t="shared" ca="1" si="20"/>
        <v>13.73</v>
      </c>
      <c r="EM77" s="359">
        <f t="shared" ca="1" si="20"/>
        <v>17.52</v>
      </c>
      <c r="EN77" s="359">
        <f t="shared" ca="1" si="20"/>
        <v>18.13</v>
      </c>
      <c r="EO77" s="359">
        <f t="shared" ca="1" si="20"/>
        <v>19.72</v>
      </c>
      <c r="EP77" s="359">
        <f t="shared" ca="1" si="20"/>
        <v>19.239999999999998</v>
      </c>
      <c r="EQ77" s="359">
        <f t="shared" ca="1" si="20"/>
        <v>22.18</v>
      </c>
      <c r="ER77" s="359">
        <f t="shared" ref="ER77:FA77" ca="1" si="37">OFFSET($C10,0,157-COLUMN(),)</f>
        <v>21.175257999999999</v>
      </c>
      <c r="ES77" s="359">
        <f t="shared" ca="1" si="37"/>
        <v>18.34</v>
      </c>
      <c r="ET77" s="359">
        <f t="shared" ca="1" si="37"/>
        <v>15.838846999999999</v>
      </c>
      <c r="EU77" s="359">
        <f t="shared" ca="1" si="37"/>
        <v>16.278231000000002</v>
      </c>
      <c r="EV77" s="359">
        <f t="shared" ca="1" si="37"/>
        <v>13.478108000000001</v>
      </c>
      <c r="EW77" s="359">
        <f t="shared" ca="1" si="37"/>
        <v>14.202437535000051</v>
      </c>
      <c r="EX77" s="359">
        <f t="shared" ca="1" si="37"/>
        <v>12.765947000000001</v>
      </c>
      <c r="EY77" s="359">
        <f t="shared" ca="1" si="37"/>
        <v>10.493401</v>
      </c>
      <c r="EZ77" s="359">
        <f t="shared" ca="1" si="37"/>
        <v>10.554163000000001</v>
      </c>
      <c r="FA77" s="360">
        <f t="shared" ca="1" si="37"/>
        <v>24.983999999999998</v>
      </c>
    </row>
    <row r="78" spans="1:157" s="195" customFormat="1" ht="13.8" thickBot="1" x14ac:dyDescent="0.3">
      <c r="A78" s="195" t="str">
        <f t="shared" ref="A78" si="38">B11</f>
        <v>NRG Energy, Inc.</v>
      </c>
      <c r="B78" s="361">
        <f t="shared" ref="B78:BM78" ca="1" si="39">-OFFSET($C11,0,157-COLUMN(),)</f>
        <v>0</v>
      </c>
      <c r="C78" s="361">
        <f t="shared" ca="1" si="39"/>
        <v>0</v>
      </c>
      <c r="D78" s="361">
        <f t="shared" ca="1" si="39"/>
        <v>0</v>
      </c>
      <c r="E78" s="361">
        <f t="shared" ca="1" si="39"/>
        <v>0</v>
      </c>
      <c r="F78" s="361">
        <f t="shared" ca="1" si="39"/>
        <v>0</v>
      </c>
      <c r="G78" s="361">
        <f t="shared" ca="1" si="39"/>
        <v>0</v>
      </c>
      <c r="H78" s="361">
        <f t="shared" ca="1" si="39"/>
        <v>0</v>
      </c>
      <c r="I78" s="361">
        <f t="shared" ca="1" si="39"/>
        <v>0</v>
      </c>
      <c r="J78" s="361">
        <f t="shared" ca="1" si="39"/>
        <v>0</v>
      </c>
      <c r="K78" s="361">
        <f t="shared" ca="1" si="39"/>
        <v>0</v>
      </c>
      <c r="L78" s="361">
        <f t="shared" ca="1" si="39"/>
        <v>0</v>
      </c>
      <c r="M78" s="361">
        <f t="shared" ca="1" si="39"/>
        <v>0</v>
      </c>
      <c r="N78" s="361">
        <f t="shared" ca="1" si="39"/>
        <v>0</v>
      </c>
      <c r="O78" s="361">
        <f t="shared" ca="1" si="39"/>
        <v>0</v>
      </c>
      <c r="P78" s="361">
        <f t="shared" ca="1" si="39"/>
        <v>0</v>
      </c>
      <c r="Q78" s="361">
        <f t="shared" ca="1" si="39"/>
        <v>0</v>
      </c>
      <c r="R78" s="361">
        <f t="shared" ca="1" si="39"/>
        <v>0</v>
      </c>
      <c r="S78" s="361">
        <f t="shared" ca="1" si="39"/>
        <v>0</v>
      </c>
      <c r="T78" s="361">
        <f t="shared" ca="1" si="39"/>
        <v>0</v>
      </c>
      <c r="U78" s="361">
        <f t="shared" ca="1" si="39"/>
        <v>0</v>
      </c>
      <c r="V78" s="361">
        <f t="shared" ca="1" si="39"/>
        <v>0</v>
      </c>
      <c r="W78" s="361">
        <f t="shared" ca="1" si="39"/>
        <v>0</v>
      </c>
      <c r="X78" s="361">
        <f t="shared" ca="1" si="39"/>
        <v>0</v>
      </c>
      <c r="Y78" s="361">
        <f t="shared" ca="1" si="39"/>
        <v>0</v>
      </c>
      <c r="Z78" s="361">
        <f t="shared" ca="1" si="39"/>
        <v>0</v>
      </c>
      <c r="AA78" s="361">
        <f t="shared" ca="1" si="39"/>
        <v>0</v>
      </c>
      <c r="AB78" s="361">
        <f t="shared" ca="1" si="39"/>
        <v>0</v>
      </c>
      <c r="AC78" s="361">
        <f t="shared" ca="1" si="39"/>
        <v>0</v>
      </c>
      <c r="AD78" s="361">
        <f t="shared" ca="1" si="39"/>
        <v>0</v>
      </c>
      <c r="AE78" s="361">
        <f t="shared" ca="1" si="39"/>
        <v>0</v>
      </c>
      <c r="AF78" s="361">
        <f t="shared" ca="1" si="39"/>
        <v>0</v>
      </c>
      <c r="AG78" s="361">
        <f t="shared" ca="1" si="39"/>
        <v>0</v>
      </c>
      <c r="AH78" s="361">
        <f t="shared" ca="1" si="39"/>
        <v>0</v>
      </c>
      <c r="AI78" s="361">
        <f t="shared" ca="1" si="39"/>
        <v>0</v>
      </c>
      <c r="AJ78" s="361">
        <f t="shared" ca="1" si="39"/>
        <v>0</v>
      </c>
      <c r="AK78" s="361">
        <f t="shared" ca="1" si="39"/>
        <v>0</v>
      </c>
      <c r="AL78" s="361">
        <f t="shared" ca="1" si="39"/>
        <v>0</v>
      </c>
      <c r="AM78" s="361">
        <f t="shared" ca="1" si="39"/>
        <v>0</v>
      </c>
      <c r="AN78" s="361">
        <f t="shared" ca="1" si="39"/>
        <v>0</v>
      </c>
      <c r="AO78" s="361">
        <f t="shared" ca="1" si="39"/>
        <v>0</v>
      </c>
      <c r="AP78" s="361">
        <f t="shared" ca="1" si="39"/>
        <v>0</v>
      </c>
      <c r="AQ78" s="361">
        <f t="shared" ca="1" si="39"/>
        <v>0</v>
      </c>
      <c r="AR78" s="361">
        <f t="shared" ca="1" si="39"/>
        <v>0</v>
      </c>
      <c r="AS78" s="361">
        <f t="shared" ca="1" si="39"/>
        <v>0</v>
      </c>
      <c r="AT78" s="361">
        <f t="shared" ca="1" si="39"/>
        <v>0</v>
      </c>
      <c r="AU78" s="361">
        <f t="shared" ca="1" si="39"/>
        <v>0</v>
      </c>
      <c r="AV78" s="361">
        <f t="shared" ca="1" si="39"/>
        <v>0</v>
      </c>
      <c r="AW78" s="361">
        <f t="shared" ca="1" si="39"/>
        <v>0</v>
      </c>
      <c r="AX78" s="361">
        <f t="shared" ca="1" si="39"/>
        <v>0</v>
      </c>
      <c r="AY78" s="361">
        <f t="shared" ca="1" si="39"/>
        <v>0</v>
      </c>
      <c r="AZ78" s="361">
        <f t="shared" ca="1" si="39"/>
        <v>0</v>
      </c>
      <c r="BA78" s="361">
        <f t="shared" ca="1" si="39"/>
        <v>0</v>
      </c>
      <c r="BB78" s="361">
        <f t="shared" ca="1" si="39"/>
        <v>0</v>
      </c>
      <c r="BC78" s="361">
        <f t="shared" ca="1" si="39"/>
        <v>0</v>
      </c>
      <c r="BD78" s="361">
        <f t="shared" ca="1" si="39"/>
        <v>0</v>
      </c>
      <c r="BE78" s="361">
        <f t="shared" ca="1" si="39"/>
        <v>0</v>
      </c>
      <c r="BF78" s="361">
        <f t="shared" ca="1" si="39"/>
        <v>0</v>
      </c>
      <c r="BG78" s="361">
        <f t="shared" ca="1" si="39"/>
        <v>0</v>
      </c>
      <c r="BH78" s="361">
        <f t="shared" ca="1" si="39"/>
        <v>0</v>
      </c>
      <c r="BI78" s="361">
        <f t="shared" ca="1" si="39"/>
        <v>0</v>
      </c>
      <c r="BJ78" s="361">
        <f t="shared" ca="1" si="39"/>
        <v>0</v>
      </c>
      <c r="BK78" s="361">
        <f t="shared" ca="1" si="39"/>
        <v>0</v>
      </c>
      <c r="BL78" s="361">
        <f t="shared" ca="1" si="39"/>
        <v>0</v>
      </c>
      <c r="BM78" s="361">
        <f t="shared" ca="1" si="39"/>
        <v>0</v>
      </c>
      <c r="BN78" s="361">
        <f t="shared" ref="BN78:DY78" ca="1" si="40">-OFFSET($C11,0,157-COLUMN(),)</f>
        <v>0</v>
      </c>
      <c r="BO78" s="361">
        <f t="shared" ca="1" si="40"/>
        <v>0</v>
      </c>
      <c r="BP78" s="361">
        <f t="shared" ca="1" si="40"/>
        <v>0</v>
      </c>
      <c r="BQ78" s="361">
        <f t="shared" ca="1" si="40"/>
        <v>0</v>
      </c>
      <c r="BR78" s="361">
        <f t="shared" ca="1" si="40"/>
        <v>0</v>
      </c>
      <c r="BS78" s="361">
        <f t="shared" ca="1" si="40"/>
        <v>0</v>
      </c>
      <c r="BT78" s="361">
        <f t="shared" ca="1" si="40"/>
        <v>0</v>
      </c>
      <c r="BU78" s="361">
        <f t="shared" ca="1" si="40"/>
        <v>0</v>
      </c>
      <c r="BV78" s="361">
        <f t="shared" ca="1" si="40"/>
        <v>0</v>
      </c>
      <c r="BW78" s="361">
        <f t="shared" ca="1" si="40"/>
        <v>0</v>
      </c>
      <c r="BX78" s="361">
        <f t="shared" ca="1" si="40"/>
        <v>0</v>
      </c>
      <c r="BY78" s="361">
        <f t="shared" ca="1" si="40"/>
        <v>0</v>
      </c>
      <c r="BZ78" s="361">
        <f t="shared" ca="1" si="40"/>
        <v>0</v>
      </c>
      <c r="CA78" s="361">
        <f t="shared" ca="1" si="40"/>
        <v>0</v>
      </c>
      <c r="CB78" s="361">
        <f t="shared" ca="1" si="40"/>
        <v>0</v>
      </c>
      <c r="CC78" s="361">
        <f t="shared" ca="1" si="40"/>
        <v>0</v>
      </c>
      <c r="CD78" s="361">
        <f t="shared" ca="1" si="40"/>
        <v>0</v>
      </c>
      <c r="CE78" s="361">
        <f t="shared" ca="1" si="40"/>
        <v>0</v>
      </c>
      <c r="CF78" s="361">
        <f t="shared" ca="1" si="40"/>
        <v>0</v>
      </c>
      <c r="CG78" s="361">
        <f t="shared" ca="1" si="40"/>
        <v>0</v>
      </c>
      <c r="CH78" s="361">
        <f t="shared" ca="1" si="40"/>
        <v>0</v>
      </c>
      <c r="CI78" s="361">
        <f t="shared" ca="1" si="40"/>
        <v>0</v>
      </c>
      <c r="CJ78" s="361">
        <f t="shared" ca="1" si="40"/>
        <v>0</v>
      </c>
      <c r="CK78" s="361">
        <f t="shared" ca="1" si="40"/>
        <v>0</v>
      </c>
      <c r="CL78" s="361">
        <f t="shared" ca="1" si="40"/>
        <v>0</v>
      </c>
      <c r="CM78" s="361">
        <f t="shared" ca="1" si="40"/>
        <v>0</v>
      </c>
      <c r="CN78" s="361">
        <f t="shared" ca="1" si="40"/>
        <v>0</v>
      </c>
      <c r="CO78" s="361">
        <f t="shared" ca="1" si="40"/>
        <v>0</v>
      </c>
      <c r="CP78" s="361">
        <f t="shared" ca="1" si="40"/>
        <v>0</v>
      </c>
      <c r="CQ78" s="361">
        <f t="shared" ca="1" si="40"/>
        <v>0</v>
      </c>
      <c r="CR78" s="361">
        <f t="shared" ca="1" si="40"/>
        <v>0</v>
      </c>
      <c r="CS78" s="361">
        <f t="shared" ca="1" si="40"/>
        <v>0</v>
      </c>
      <c r="CT78" s="361">
        <f t="shared" ca="1" si="40"/>
        <v>0</v>
      </c>
      <c r="CU78" s="361">
        <f t="shared" ca="1" si="40"/>
        <v>0</v>
      </c>
      <c r="CV78" s="361">
        <f t="shared" ca="1" si="40"/>
        <v>0</v>
      </c>
      <c r="CW78" s="361">
        <f t="shared" ca="1" si="40"/>
        <v>0</v>
      </c>
      <c r="CX78" s="361">
        <f t="shared" ca="1" si="40"/>
        <v>0</v>
      </c>
      <c r="CY78" s="361">
        <f t="shared" ca="1" si="40"/>
        <v>0</v>
      </c>
      <c r="CZ78" s="361">
        <f t="shared" ca="1" si="40"/>
        <v>0</v>
      </c>
      <c r="DA78" s="361">
        <f t="shared" ca="1" si="40"/>
        <v>0</v>
      </c>
      <c r="DB78" s="361">
        <f t="shared" ca="1" si="40"/>
        <v>0</v>
      </c>
      <c r="DC78" s="361">
        <f t="shared" ca="1" si="40"/>
        <v>0</v>
      </c>
      <c r="DD78" s="361">
        <f t="shared" ca="1" si="40"/>
        <v>0</v>
      </c>
      <c r="DE78" s="361">
        <f t="shared" ca="1" si="40"/>
        <v>0</v>
      </c>
      <c r="DF78" s="361">
        <f t="shared" ca="1" si="40"/>
        <v>0</v>
      </c>
      <c r="DG78" s="361">
        <f t="shared" ca="1" si="40"/>
        <v>0</v>
      </c>
      <c r="DH78" s="361">
        <f t="shared" ca="1" si="40"/>
        <v>0</v>
      </c>
      <c r="DI78" s="361">
        <f t="shared" ca="1" si="40"/>
        <v>0</v>
      </c>
      <c r="DJ78" s="361">
        <f t="shared" ca="1" si="40"/>
        <v>0</v>
      </c>
      <c r="DK78" s="361">
        <f t="shared" ca="1" si="40"/>
        <v>0</v>
      </c>
      <c r="DL78" s="361">
        <f t="shared" ca="1" si="40"/>
        <v>0</v>
      </c>
      <c r="DM78" s="631">
        <f t="shared" ca="1" si="40"/>
        <v>0.01</v>
      </c>
      <c r="DN78" s="361" t="e">
        <f t="shared" ca="1" si="40"/>
        <v>#REF!</v>
      </c>
      <c r="DO78" s="361" t="e">
        <f t="shared" ca="1" si="40"/>
        <v>#REF!</v>
      </c>
      <c r="DP78" s="361">
        <f t="shared" ca="1" si="40"/>
        <v>0</v>
      </c>
      <c r="DQ78" s="361">
        <f t="shared" ca="1" si="40"/>
        <v>0</v>
      </c>
      <c r="DR78" s="361">
        <f t="shared" ca="1" si="40"/>
        <v>0</v>
      </c>
      <c r="DS78" s="361">
        <f t="shared" ca="1" si="40"/>
        <v>0</v>
      </c>
      <c r="DT78" s="361">
        <f t="shared" ca="1" si="40"/>
        <v>0</v>
      </c>
      <c r="DU78" s="361">
        <f t="shared" ca="1" si="40"/>
        <v>0</v>
      </c>
      <c r="DV78" s="361">
        <f t="shared" ca="1" si="40"/>
        <v>0</v>
      </c>
      <c r="DW78" s="361">
        <f t="shared" ca="1" si="40"/>
        <v>0</v>
      </c>
      <c r="DX78" s="361">
        <f t="shared" ca="1" si="40"/>
        <v>0</v>
      </c>
      <c r="DY78" s="361">
        <f t="shared" ca="1" si="40"/>
        <v>0</v>
      </c>
      <c r="DZ78" s="361">
        <f t="shared" ref="DZ78:EE78" ca="1" si="41">-OFFSET($C11,0,157-COLUMN(),)</f>
        <v>0</v>
      </c>
      <c r="EA78" s="361">
        <f t="shared" ca="1" si="41"/>
        <v>0</v>
      </c>
      <c r="EB78" s="361">
        <f t="shared" ca="1" si="41"/>
        <v>0</v>
      </c>
      <c r="EC78" s="361">
        <f t="shared" ca="1" si="41"/>
        <v>0</v>
      </c>
      <c r="ED78" s="361">
        <f ca="1">-OFFSET($C11,0,157-COLUMN(),)</f>
        <v>0</v>
      </c>
      <c r="EE78" s="479">
        <f t="shared" ca="1" si="41"/>
        <v>0</v>
      </c>
      <c r="EF78" s="479">
        <f ca="1">-OFFSET($C11,0,157-COLUMN(),)</f>
        <v>0</v>
      </c>
      <c r="EG78" s="361">
        <f t="shared" ref="EG78" ca="1" si="42">OFFSET($C11,0,157-COLUMN(),)</f>
        <v>0</v>
      </c>
      <c r="EH78" s="361">
        <f ca="1">OFFSET($C11,0,157-COLUMN(),)</f>
        <v>0</v>
      </c>
      <c r="EI78" s="368">
        <f ca="1">-OFFSET($C11,0,157-COLUMN(),)</f>
        <v>0</v>
      </c>
      <c r="EJ78" s="368">
        <f t="shared" ref="EJ78:EL78" ca="1" si="43">-OFFSET($C11,0,157-COLUMN(),)</f>
        <v>0</v>
      </c>
      <c r="EK78" s="368">
        <f t="shared" ca="1" si="43"/>
        <v>0</v>
      </c>
      <c r="EL78" s="368">
        <f t="shared" ca="1" si="43"/>
        <v>0</v>
      </c>
      <c r="EM78" s="368">
        <f ca="1">OFFSET($C11,0,157-COLUMN(),)</f>
        <v>0</v>
      </c>
      <c r="EN78" s="368">
        <f t="shared" ref="EN78:EU78" ca="1" si="44">OFFSET($C11,0,157-COLUMN(),)</f>
        <v>0</v>
      </c>
      <c r="EO78" s="368">
        <f t="shared" ca="1" si="44"/>
        <v>0</v>
      </c>
      <c r="EP78" s="368">
        <f t="shared" ca="1" si="44"/>
        <v>0</v>
      </c>
      <c r="EQ78" s="368">
        <f t="shared" ca="1" si="44"/>
        <v>0</v>
      </c>
      <c r="ER78" s="368">
        <f t="shared" ca="1" si="44"/>
        <v>0</v>
      </c>
      <c r="ES78" s="368">
        <f t="shared" ca="1" si="44"/>
        <v>0</v>
      </c>
      <c r="ET78" s="368">
        <f t="shared" ca="1" si="44"/>
        <v>0</v>
      </c>
      <c r="EU78" s="368">
        <f t="shared" ca="1" si="44"/>
        <v>0</v>
      </c>
      <c r="EV78" s="368">
        <f t="shared" ref="EV78:FA78" ca="1" si="45">-OFFSET($C11,0,157-COLUMN(),)</f>
        <v>1.5000000000000013E-3</v>
      </c>
      <c r="EW78" s="368">
        <f t="shared" ca="1" si="45"/>
        <v>1.6499999999999987E-3</v>
      </c>
      <c r="EX78" s="368">
        <f ca="1">OFFSET($C11,0,157-COLUMN(),)</f>
        <v>0</v>
      </c>
      <c r="EY78" s="368">
        <f t="shared" ca="1" si="45"/>
        <v>0</v>
      </c>
      <c r="EZ78" s="368">
        <f t="shared" ca="1" si="45"/>
        <v>0</v>
      </c>
      <c r="FA78" s="368">
        <f t="shared" ca="1" si="45"/>
        <v>0</v>
      </c>
    </row>
    <row r="79" spans="1:157" s="195" customFormat="1" ht="13.8" thickBot="1" x14ac:dyDescent="0.3">
      <c r="A79" s="195" t="str">
        <f>B12</f>
        <v>Total</v>
      </c>
      <c r="B79" s="362">
        <f t="shared" ref="B79:BM79" ca="1" si="46">OFFSET($C12,0,157-COLUMN(),)</f>
        <v>0</v>
      </c>
      <c r="C79" s="363">
        <f t="shared" ca="1" si="46"/>
        <v>0</v>
      </c>
      <c r="D79" s="363">
        <f t="shared" ca="1" si="46"/>
        <v>0</v>
      </c>
      <c r="E79" s="363">
        <f t="shared" ca="1" si="46"/>
        <v>0</v>
      </c>
      <c r="F79" s="363">
        <f t="shared" ca="1" si="46"/>
        <v>0</v>
      </c>
      <c r="G79" s="363">
        <f t="shared" ca="1" si="46"/>
        <v>0</v>
      </c>
      <c r="H79" s="363">
        <f t="shared" ca="1" si="46"/>
        <v>0</v>
      </c>
      <c r="I79" s="363">
        <f t="shared" ca="1" si="46"/>
        <v>0</v>
      </c>
      <c r="J79" s="363">
        <f t="shared" ca="1" si="46"/>
        <v>0</v>
      </c>
      <c r="K79" s="363">
        <f t="shared" ca="1" si="46"/>
        <v>0</v>
      </c>
      <c r="L79" s="363">
        <f t="shared" ca="1" si="46"/>
        <v>0</v>
      </c>
      <c r="M79" s="363">
        <f t="shared" ca="1" si="46"/>
        <v>0</v>
      </c>
      <c r="N79" s="363">
        <f t="shared" ca="1" si="46"/>
        <v>0</v>
      </c>
      <c r="O79" s="363">
        <f t="shared" ca="1" si="46"/>
        <v>0</v>
      </c>
      <c r="P79" s="363">
        <f t="shared" ca="1" si="46"/>
        <v>0</v>
      </c>
      <c r="Q79" s="363">
        <f t="shared" ca="1" si="46"/>
        <v>0</v>
      </c>
      <c r="R79" s="363">
        <f t="shared" ca="1" si="46"/>
        <v>0</v>
      </c>
      <c r="S79" s="363">
        <f t="shared" ca="1" si="46"/>
        <v>0</v>
      </c>
      <c r="T79" s="363">
        <f t="shared" ca="1" si="46"/>
        <v>0</v>
      </c>
      <c r="U79" s="363">
        <f t="shared" ca="1" si="46"/>
        <v>0</v>
      </c>
      <c r="V79" s="363">
        <f t="shared" ca="1" si="46"/>
        <v>0</v>
      </c>
      <c r="W79" s="363">
        <f t="shared" ca="1" si="46"/>
        <v>0</v>
      </c>
      <c r="X79" s="363">
        <f t="shared" ca="1" si="46"/>
        <v>0</v>
      </c>
      <c r="Y79" s="363">
        <f t="shared" ca="1" si="46"/>
        <v>0</v>
      </c>
      <c r="Z79" s="363">
        <f t="shared" ca="1" si="46"/>
        <v>0</v>
      </c>
      <c r="AA79" s="363">
        <f t="shared" ca="1" si="46"/>
        <v>0</v>
      </c>
      <c r="AB79" s="363">
        <f t="shared" ca="1" si="46"/>
        <v>0</v>
      </c>
      <c r="AC79" s="363">
        <f t="shared" ca="1" si="46"/>
        <v>0</v>
      </c>
      <c r="AD79" s="363">
        <f t="shared" ca="1" si="46"/>
        <v>0</v>
      </c>
      <c r="AE79" s="363">
        <f t="shared" ca="1" si="46"/>
        <v>0</v>
      </c>
      <c r="AF79" s="363">
        <f t="shared" ca="1" si="46"/>
        <v>0</v>
      </c>
      <c r="AG79" s="363">
        <f t="shared" ca="1" si="46"/>
        <v>0</v>
      </c>
      <c r="AH79" s="363">
        <f t="shared" ca="1" si="46"/>
        <v>0</v>
      </c>
      <c r="AI79" s="363">
        <f t="shared" ca="1" si="46"/>
        <v>0</v>
      </c>
      <c r="AJ79" s="363">
        <f t="shared" ca="1" si="46"/>
        <v>0</v>
      </c>
      <c r="AK79" s="363">
        <f t="shared" ca="1" si="46"/>
        <v>0</v>
      </c>
      <c r="AL79" s="363">
        <f t="shared" ca="1" si="46"/>
        <v>0</v>
      </c>
      <c r="AM79" s="363">
        <f t="shared" ca="1" si="46"/>
        <v>0</v>
      </c>
      <c r="AN79" s="363">
        <f t="shared" ca="1" si="46"/>
        <v>0</v>
      </c>
      <c r="AO79" s="363">
        <f t="shared" ca="1" si="46"/>
        <v>0</v>
      </c>
      <c r="AP79" s="363">
        <f t="shared" ca="1" si="46"/>
        <v>0</v>
      </c>
      <c r="AQ79" s="363">
        <f t="shared" ca="1" si="46"/>
        <v>0</v>
      </c>
      <c r="AR79" s="363">
        <f t="shared" ca="1" si="46"/>
        <v>0</v>
      </c>
      <c r="AS79" s="363">
        <f t="shared" ca="1" si="46"/>
        <v>0</v>
      </c>
      <c r="AT79" s="363">
        <f t="shared" ca="1" si="46"/>
        <v>0</v>
      </c>
      <c r="AU79" s="363">
        <f t="shared" ca="1" si="46"/>
        <v>0</v>
      </c>
      <c r="AV79" s="363">
        <f t="shared" ca="1" si="46"/>
        <v>0</v>
      </c>
      <c r="AW79" s="363">
        <f t="shared" ca="1" si="46"/>
        <v>0</v>
      </c>
      <c r="AX79" s="363">
        <f t="shared" ca="1" si="46"/>
        <v>0</v>
      </c>
      <c r="AY79" s="363">
        <f t="shared" ca="1" si="46"/>
        <v>0</v>
      </c>
      <c r="AZ79" s="363">
        <f t="shared" ca="1" si="46"/>
        <v>0</v>
      </c>
      <c r="BA79" s="363">
        <f t="shared" ca="1" si="46"/>
        <v>0</v>
      </c>
      <c r="BB79" s="363">
        <f t="shared" ca="1" si="46"/>
        <v>0</v>
      </c>
      <c r="BC79" s="363">
        <f t="shared" ca="1" si="46"/>
        <v>0</v>
      </c>
      <c r="BD79" s="363">
        <f t="shared" ca="1" si="46"/>
        <v>0</v>
      </c>
      <c r="BE79" s="363">
        <f t="shared" ca="1" si="46"/>
        <v>0</v>
      </c>
      <c r="BF79" s="363">
        <f t="shared" ca="1" si="46"/>
        <v>0</v>
      </c>
      <c r="BG79" s="363">
        <f t="shared" ca="1" si="46"/>
        <v>0</v>
      </c>
      <c r="BH79" s="363">
        <f t="shared" ca="1" si="46"/>
        <v>0</v>
      </c>
      <c r="BI79" s="363">
        <f t="shared" ca="1" si="46"/>
        <v>0</v>
      </c>
      <c r="BJ79" s="363">
        <f t="shared" ca="1" si="46"/>
        <v>0</v>
      </c>
      <c r="BK79" s="363">
        <f t="shared" ca="1" si="46"/>
        <v>0</v>
      </c>
      <c r="BL79" s="363">
        <f t="shared" ca="1" si="46"/>
        <v>0</v>
      </c>
      <c r="BM79" s="363">
        <f t="shared" ca="1" si="46"/>
        <v>0</v>
      </c>
      <c r="BN79" s="363">
        <f t="shared" ref="BN79:DQ79" ca="1" si="47">OFFSET($C12,0,157-COLUMN(),)</f>
        <v>0</v>
      </c>
      <c r="BO79" s="363">
        <f t="shared" ca="1" si="47"/>
        <v>0</v>
      </c>
      <c r="BP79" s="363">
        <f t="shared" ca="1" si="47"/>
        <v>0</v>
      </c>
      <c r="BQ79" s="363">
        <f t="shared" ca="1" si="47"/>
        <v>0</v>
      </c>
      <c r="BR79" s="363">
        <f t="shared" ca="1" si="47"/>
        <v>0</v>
      </c>
      <c r="BS79" s="363">
        <f t="shared" ca="1" si="47"/>
        <v>0</v>
      </c>
      <c r="BT79" s="363">
        <f t="shared" ca="1" si="47"/>
        <v>0</v>
      </c>
      <c r="BU79" s="363">
        <f t="shared" ca="1" si="47"/>
        <v>0</v>
      </c>
      <c r="BV79" s="363">
        <f t="shared" ca="1" si="47"/>
        <v>0</v>
      </c>
      <c r="BW79" s="363">
        <f t="shared" ca="1" si="47"/>
        <v>0</v>
      </c>
      <c r="BX79" s="363">
        <f t="shared" ca="1" si="47"/>
        <v>0</v>
      </c>
      <c r="BY79" s="363">
        <f t="shared" ca="1" si="47"/>
        <v>0</v>
      </c>
      <c r="BZ79" s="363">
        <f t="shared" ca="1" si="47"/>
        <v>0</v>
      </c>
      <c r="CA79" s="363">
        <f t="shared" ca="1" si="47"/>
        <v>0</v>
      </c>
      <c r="CB79" s="363">
        <f t="shared" ca="1" si="47"/>
        <v>0</v>
      </c>
      <c r="CC79" s="363">
        <f t="shared" ca="1" si="47"/>
        <v>0</v>
      </c>
      <c r="CD79" s="363">
        <f t="shared" ca="1" si="47"/>
        <v>0</v>
      </c>
      <c r="CE79" s="363">
        <f t="shared" ca="1" si="47"/>
        <v>0</v>
      </c>
      <c r="CF79" s="363">
        <f t="shared" ca="1" si="47"/>
        <v>0</v>
      </c>
      <c r="CG79" s="363">
        <f t="shared" ca="1" si="47"/>
        <v>0</v>
      </c>
      <c r="CH79" s="363">
        <f t="shared" ca="1" si="47"/>
        <v>0</v>
      </c>
      <c r="CI79" s="363">
        <f t="shared" ca="1" si="47"/>
        <v>0</v>
      </c>
      <c r="CJ79" s="363">
        <f t="shared" ca="1" si="47"/>
        <v>0</v>
      </c>
      <c r="CK79" s="363">
        <f t="shared" ca="1" si="47"/>
        <v>0</v>
      </c>
      <c r="CL79" s="363">
        <f t="shared" ca="1" si="47"/>
        <v>0</v>
      </c>
      <c r="CM79" s="363">
        <f t="shared" ca="1" si="47"/>
        <v>0</v>
      </c>
      <c r="CN79" s="363">
        <f t="shared" ca="1" si="47"/>
        <v>0</v>
      </c>
      <c r="CO79" s="363">
        <f t="shared" ca="1" si="47"/>
        <v>0</v>
      </c>
      <c r="CP79" s="363">
        <f t="shared" ca="1" si="47"/>
        <v>0</v>
      </c>
      <c r="CQ79" s="363">
        <f t="shared" ca="1" si="47"/>
        <v>0</v>
      </c>
      <c r="CR79" s="363">
        <f t="shared" ca="1" si="47"/>
        <v>0</v>
      </c>
      <c r="CS79" s="363">
        <f t="shared" ca="1" si="47"/>
        <v>0</v>
      </c>
      <c r="CT79" s="363">
        <f t="shared" ca="1" si="47"/>
        <v>0</v>
      </c>
      <c r="CU79" s="363">
        <f t="shared" ca="1" si="47"/>
        <v>0</v>
      </c>
      <c r="CV79" s="363">
        <f t="shared" ca="1" si="47"/>
        <v>0</v>
      </c>
      <c r="CW79" s="363">
        <f t="shared" ca="1" si="47"/>
        <v>0</v>
      </c>
      <c r="CX79" s="363">
        <f t="shared" ca="1" si="47"/>
        <v>0</v>
      </c>
      <c r="CY79" s="363">
        <f t="shared" ca="1" si="47"/>
        <v>0</v>
      </c>
      <c r="CZ79" s="363">
        <f t="shared" ca="1" si="47"/>
        <v>0</v>
      </c>
      <c r="DA79" s="363">
        <f t="shared" ca="1" si="47"/>
        <v>0</v>
      </c>
      <c r="DB79" s="363">
        <f t="shared" ca="1" si="47"/>
        <v>0</v>
      </c>
      <c r="DC79" s="363">
        <f t="shared" ca="1" si="47"/>
        <v>0</v>
      </c>
      <c r="DD79" s="363">
        <f t="shared" ca="1" si="47"/>
        <v>0</v>
      </c>
      <c r="DE79" s="363">
        <f t="shared" ca="1" si="47"/>
        <v>0</v>
      </c>
      <c r="DF79" s="363">
        <f t="shared" ca="1" si="47"/>
        <v>0</v>
      </c>
      <c r="DG79" s="363">
        <f t="shared" ca="1" si="47"/>
        <v>0</v>
      </c>
      <c r="DH79" s="363">
        <f t="shared" ca="1" si="47"/>
        <v>0</v>
      </c>
      <c r="DI79" s="363">
        <f t="shared" ca="1" si="47"/>
        <v>0</v>
      </c>
      <c r="DJ79" s="363">
        <f t="shared" ca="1" si="47"/>
        <v>0</v>
      </c>
      <c r="DK79" s="363">
        <f t="shared" ca="1" si="47"/>
        <v>0</v>
      </c>
      <c r="DL79" s="363">
        <f t="shared" ca="1" si="47"/>
        <v>0</v>
      </c>
      <c r="DM79" s="630">
        <f t="shared" ca="1" si="47"/>
        <v>22.389879000000001</v>
      </c>
      <c r="DN79" s="363" t="e">
        <f t="shared" ca="1" si="47"/>
        <v>#REF!</v>
      </c>
      <c r="DO79" s="363" t="e">
        <f t="shared" ca="1" si="47"/>
        <v>#REF!</v>
      </c>
      <c r="DP79" s="363">
        <f t="shared" ca="1" si="47"/>
        <v>21.588107856000001</v>
      </c>
      <c r="DQ79" s="363">
        <f t="shared" ca="1" si="47"/>
        <v>21.015389016</v>
      </c>
      <c r="DR79" s="363">
        <f t="shared" ref="DR79:EG79" ca="1" si="48">OFFSET($C12,0,157-COLUMN(),)</f>
        <v>23.563056036000003</v>
      </c>
      <c r="DS79" s="363">
        <f t="shared" ca="1" si="48"/>
        <v>26.583780865999998</v>
      </c>
      <c r="DT79" s="363">
        <f t="shared" ca="1" si="48"/>
        <v>24.381417836000001</v>
      </c>
      <c r="DU79" s="363">
        <f t="shared" ca="1" si="48"/>
        <v>26.727431855999999</v>
      </c>
      <c r="DV79" s="363">
        <f t="shared" ca="1" si="48"/>
        <v>29.919900576</v>
      </c>
      <c r="DW79" s="363">
        <f t="shared" ca="1" si="48"/>
        <v>27.994452455999998</v>
      </c>
      <c r="DX79" s="363">
        <f t="shared" ca="1" si="48"/>
        <v>26.293560514999999</v>
      </c>
      <c r="DY79" s="363">
        <f t="shared" ca="1" si="48"/>
        <v>31.36427913</v>
      </c>
      <c r="DZ79" s="363">
        <f t="shared" ca="1" si="48"/>
        <v>30.524330645999999</v>
      </c>
      <c r="EA79" s="363">
        <f t="shared" ca="1" si="48"/>
        <v>31.470425980000002</v>
      </c>
      <c r="EB79" s="363">
        <f t="shared" ca="1" si="48"/>
        <v>33.749579760000003</v>
      </c>
      <c r="EC79" s="363">
        <f t="shared" ca="1" si="48"/>
        <v>34.683884470000002</v>
      </c>
      <c r="ED79" s="363">
        <f t="shared" ca="1" si="48"/>
        <v>37.671389572999999</v>
      </c>
      <c r="EE79" s="363">
        <f t="shared" ca="1" si="48"/>
        <v>40.598715580000004</v>
      </c>
      <c r="EF79" s="363">
        <f t="shared" ca="1" si="48"/>
        <v>44.258559590000004</v>
      </c>
      <c r="EG79" s="363">
        <f t="shared" ca="1" si="48"/>
        <v>44.902799315999999</v>
      </c>
      <c r="EH79" s="363">
        <f ca="1">OFFSET($C12,0,157-COLUMN(),)</f>
        <v>44.420670027</v>
      </c>
      <c r="EI79" s="363">
        <f t="shared" ref="EI79:EJ79" ca="1" si="49">OFFSET($C12,0,157-COLUMN(),)</f>
        <v>44.697743293999999</v>
      </c>
      <c r="EJ79" s="363">
        <f t="shared" ca="1" si="49"/>
        <v>51.572707178000002</v>
      </c>
      <c r="EK79" s="363">
        <f ca="1">OFFSET($C12,0,157-COLUMN(),)</f>
        <v>50.995299999999993</v>
      </c>
      <c r="EL79" s="363">
        <f ca="1">OFFSET($C12,0,157-COLUMN(),)</f>
        <v>51.971442090000004</v>
      </c>
      <c r="EM79" s="363">
        <f ca="1">OFFSET($C12,0,157-COLUMN(),)</f>
        <v>55.774999999999991</v>
      </c>
      <c r="EN79" s="363">
        <f t="shared" ref="EN79:EW79" ca="1" si="50">OFFSET($C12,0,157-COLUMN(),)</f>
        <v>54.59255499999999</v>
      </c>
      <c r="EO79" s="363">
        <f t="shared" ca="1" si="50"/>
        <v>54.28</v>
      </c>
      <c r="EP79" s="363">
        <f t="shared" ca="1" si="50"/>
        <v>55.679999999999993</v>
      </c>
      <c r="EQ79" s="363">
        <f t="shared" ca="1" si="50"/>
        <v>62.64</v>
      </c>
      <c r="ER79" s="363">
        <f t="shared" ca="1" si="50"/>
        <v>57.835258000000003</v>
      </c>
      <c r="ES79" s="363">
        <f t="shared" ca="1" si="50"/>
        <v>52.47</v>
      </c>
      <c r="ET79" s="363">
        <f t="shared" ca="1" si="50"/>
        <v>49.079107256</v>
      </c>
      <c r="EU79" s="363">
        <f t="shared" ca="1" si="50"/>
        <v>50.455395624000005</v>
      </c>
      <c r="EV79" s="363">
        <f t="shared" ca="1" si="50"/>
        <v>45.839216100000002</v>
      </c>
      <c r="EW79" s="363">
        <f t="shared" ca="1" si="50"/>
        <v>44.057846095000052</v>
      </c>
      <c r="EX79" s="363">
        <f ca="1">OFFSET($C12,0,157-COLUMN(),)</f>
        <v>38.831789810000004</v>
      </c>
      <c r="EY79" s="363">
        <f ca="1">OFFSET($C12,0,157-COLUMN(),)</f>
        <v>36.653282850000004</v>
      </c>
      <c r="EZ79" s="363">
        <f ca="1">OFFSET($C12,0,157-COLUMN(),)</f>
        <v>41.286739160000003</v>
      </c>
      <c r="FA79" s="364">
        <f ca="1">OFFSET($C12,0,157-COLUMN(),)</f>
        <v>47.990122</v>
      </c>
    </row>
    <row r="80" spans="1:157" s="195" customFormat="1" x14ac:dyDescent="0.25">
      <c r="A80" s="195">
        <f>B13</f>
        <v>0</v>
      </c>
    </row>
    <row r="81" spans="1:1" x14ac:dyDescent="0.25">
      <c r="A81" s="195">
        <f>B14</f>
        <v>0</v>
      </c>
    </row>
    <row r="82" spans="1:1" x14ac:dyDescent="0.25">
      <c r="A82" s="195"/>
    </row>
    <row r="83" spans="1:1" x14ac:dyDescent="0.25">
      <c r="A83" s="195"/>
    </row>
    <row r="84" spans="1:1" x14ac:dyDescent="0.25">
      <c r="A84" s="195"/>
    </row>
    <row r="85" spans="1:1" x14ac:dyDescent="0.25">
      <c r="A85" s="195"/>
    </row>
    <row r="86" spans="1:1" x14ac:dyDescent="0.25">
      <c r="A86" s="195"/>
    </row>
    <row r="87" spans="1:1" x14ac:dyDescent="0.25">
      <c r="A87" s="195"/>
    </row>
    <row r="104" spans="1:1" x14ac:dyDescent="0.25">
      <c r="A104" t="s">
        <v>27</v>
      </c>
    </row>
    <row r="105" spans="1:1" x14ac:dyDescent="0.25">
      <c r="A105" t="s">
        <v>128</v>
      </c>
    </row>
    <row r="106" spans="1:1" x14ac:dyDescent="0.25">
      <c r="A106" t="s">
        <v>308</v>
      </c>
    </row>
    <row r="107" spans="1:1" x14ac:dyDescent="0.25">
      <c r="A107" t="s">
        <v>309</v>
      </c>
    </row>
    <row r="108" spans="1:1" x14ac:dyDescent="0.25">
      <c r="A108" t="s">
        <v>307</v>
      </c>
    </row>
    <row r="109" spans="1:1" x14ac:dyDescent="0.25">
      <c r="A109" t="s">
        <v>238</v>
      </c>
    </row>
    <row r="110" spans="1:1" x14ac:dyDescent="0.25">
      <c r="A110" t="s">
        <v>183</v>
      </c>
    </row>
    <row r="117" spans="1:4" x14ac:dyDescent="0.25">
      <c r="B117" s="893" t="s">
        <v>302</v>
      </c>
      <c r="C117" s="893"/>
      <c r="D117" s="893"/>
    </row>
    <row r="118" spans="1:4" x14ac:dyDescent="0.25">
      <c r="A118" t="s">
        <v>160</v>
      </c>
      <c r="B118" s="229">
        <v>1</v>
      </c>
      <c r="C118" s="230" t="s">
        <v>160</v>
      </c>
      <c r="D118" s="231">
        <v>40544</v>
      </c>
    </row>
    <row r="119" spans="1:4" x14ac:dyDescent="0.25">
      <c r="A119" t="s">
        <v>161</v>
      </c>
      <c r="B119" s="232">
        <v>2</v>
      </c>
      <c r="C119" s="228" t="s">
        <v>161</v>
      </c>
      <c r="D119" s="233">
        <v>40575</v>
      </c>
    </row>
    <row r="120" spans="1:4" x14ac:dyDescent="0.25">
      <c r="A120" t="s">
        <v>162</v>
      </c>
      <c r="B120" s="232">
        <v>3</v>
      </c>
      <c r="C120" s="228" t="s">
        <v>162</v>
      </c>
      <c r="D120" s="233">
        <v>40603</v>
      </c>
    </row>
    <row r="121" spans="1:4" x14ac:dyDescent="0.25">
      <c r="A121" t="s">
        <v>163</v>
      </c>
      <c r="B121" s="232">
        <v>4</v>
      </c>
      <c r="C121" s="228" t="s">
        <v>163</v>
      </c>
      <c r="D121" s="233">
        <v>40634</v>
      </c>
    </row>
    <row r="122" spans="1:4" x14ac:dyDescent="0.25">
      <c r="A122" t="s">
        <v>164</v>
      </c>
      <c r="B122" s="232">
        <v>5</v>
      </c>
      <c r="C122" s="228" t="s">
        <v>164</v>
      </c>
      <c r="D122" s="234">
        <f>D123-IF(TRUE=OR(2=MONTH(D123),4=MONTH(D123),6=MONTH(D123),8=MONTH(D123),9=MONTH(D123),11=MONTH(D123),1=MONTH(D123)),31,IF(TRUE=OR(5=MONTH(D123),7=MONTH(D123),10=MONTH(D123),12=MONTH(D123)),30,IF(MOD(YEAR(D123),4)=0,29,28)))</f>
        <v>40664</v>
      </c>
    </row>
    <row r="123" spans="1:4" x14ac:dyDescent="0.25">
      <c r="A123" t="s">
        <v>165</v>
      </c>
      <c r="B123" s="232">
        <v>6</v>
      </c>
      <c r="C123" s="228" t="s">
        <v>165</v>
      </c>
      <c r="D123" s="234">
        <v>40695</v>
      </c>
    </row>
    <row r="124" spans="1:4" x14ac:dyDescent="0.25">
      <c r="A124" t="s">
        <v>166</v>
      </c>
      <c r="B124" s="232">
        <v>7</v>
      </c>
      <c r="C124" s="228" t="s">
        <v>166</v>
      </c>
      <c r="D124" s="234">
        <v>40725</v>
      </c>
    </row>
    <row r="125" spans="1:4" x14ac:dyDescent="0.25">
      <c r="A125" t="s">
        <v>167</v>
      </c>
      <c r="B125" s="232">
        <v>8</v>
      </c>
      <c r="C125" s="228" t="s">
        <v>167</v>
      </c>
      <c r="D125" s="234">
        <v>40756</v>
      </c>
    </row>
    <row r="126" spans="1:4" x14ac:dyDescent="0.25">
      <c r="A126" t="s">
        <v>168</v>
      </c>
      <c r="B126" s="232">
        <v>9</v>
      </c>
      <c r="C126" s="228" t="s">
        <v>168</v>
      </c>
      <c r="D126" s="234">
        <v>40787</v>
      </c>
    </row>
    <row r="127" spans="1:4" x14ac:dyDescent="0.25">
      <c r="A127" t="s">
        <v>169</v>
      </c>
      <c r="B127" s="232">
        <v>10</v>
      </c>
      <c r="C127" s="228" t="s">
        <v>169</v>
      </c>
      <c r="D127" s="234">
        <v>40817</v>
      </c>
    </row>
    <row r="128" spans="1:4" x14ac:dyDescent="0.25">
      <c r="A128" t="s">
        <v>170</v>
      </c>
      <c r="B128" s="232">
        <v>11</v>
      </c>
      <c r="C128" s="228" t="s">
        <v>170</v>
      </c>
      <c r="D128" s="234">
        <v>40848</v>
      </c>
    </row>
    <row r="129" spans="1:4" x14ac:dyDescent="0.25">
      <c r="A129" t="s">
        <v>171</v>
      </c>
      <c r="B129" s="232">
        <v>12</v>
      </c>
      <c r="C129" s="228" t="s">
        <v>171</v>
      </c>
      <c r="D129" s="234">
        <v>40878</v>
      </c>
    </row>
    <row r="130" spans="1:4" x14ac:dyDescent="0.25">
      <c r="B130" s="232">
        <v>13</v>
      </c>
      <c r="C130" s="228" t="s">
        <v>160</v>
      </c>
      <c r="D130" s="234">
        <v>40909</v>
      </c>
    </row>
    <row r="131" spans="1:4" x14ac:dyDescent="0.25">
      <c r="B131" s="232">
        <v>14</v>
      </c>
      <c r="C131" s="228" t="s">
        <v>161</v>
      </c>
      <c r="D131" s="234">
        <v>40940</v>
      </c>
    </row>
    <row r="132" spans="1:4" x14ac:dyDescent="0.25">
      <c r="B132" s="232">
        <v>15</v>
      </c>
      <c r="C132" s="228" t="s">
        <v>162</v>
      </c>
      <c r="D132" s="234">
        <v>40969</v>
      </c>
    </row>
    <row r="133" spans="1:4" x14ac:dyDescent="0.25">
      <c r="B133" s="232">
        <v>16</v>
      </c>
      <c r="C133" s="228" t="s">
        <v>163</v>
      </c>
      <c r="D133" s="234">
        <v>41000</v>
      </c>
    </row>
    <row r="134" spans="1:4" x14ac:dyDescent="0.25">
      <c r="B134" s="232">
        <v>17</v>
      </c>
      <c r="C134" s="228" t="s">
        <v>164</v>
      </c>
      <c r="D134" s="234">
        <v>41030</v>
      </c>
    </row>
    <row r="135" spans="1:4" x14ac:dyDescent="0.25">
      <c r="B135" s="232">
        <v>18</v>
      </c>
      <c r="C135" s="228" t="s">
        <v>165</v>
      </c>
      <c r="D135" s="234">
        <v>41061</v>
      </c>
    </row>
    <row r="136" spans="1:4" x14ac:dyDescent="0.25">
      <c r="B136" s="232">
        <v>19</v>
      </c>
      <c r="C136" s="228" t="s">
        <v>166</v>
      </c>
      <c r="D136" s="234">
        <v>41091</v>
      </c>
    </row>
    <row r="137" spans="1:4" x14ac:dyDescent="0.25">
      <c r="B137" s="232">
        <v>20</v>
      </c>
      <c r="C137" s="228" t="s">
        <v>167</v>
      </c>
      <c r="D137" s="234">
        <v>41122</v>
      </c>
    </row>
    <row r="138" spans="1:4" x14ac:dyDescent="0.25">
      <c r="B138" s="232">
        <v>21</v>
      </c>
      <c r="C138" s="228" t="s">
        <v>168</v>
      </c>
      <c r="D138" s="234">
        <v>41153</v>
      </c>
    </row>
    <row r="139" spans="1:4" x14ac:dyDescent="0.25">
      <c r="B139" s="232">
        <v>22</v>
      </c>
      <c r="C139" s="228" t="s">
        <v>169</v>
      </c>
      <c r="D139" s="234">
        <v>41183</v>
      </c>
    </row>
    <row r="140" spans="1:4" x14ac:dyDescent="0.25">
      <c r="B140" s="232">
        <v>23</v>
      </c>
      <c r="C140" s="228" t="s">
        <v>170</v>
      </c>
      <c r="D140" s="234">
        <v>41214</v>
      </c>
    </row>
    <row r="141" spans="1:4" x14ac:dyDescent="0.25">
      <c r="B141" s="232">
        <v>24</v>
      </c>
      <c r="C141" s="228" t="s">
        <v>171</v>
      </c>
      <c r="D141" s="234">
        <v>41244</v>
      </c>
    </row>
    <row r="142" spans="1:4" x14ac:dyDescent="0.25">
      <c r="B142" s="232">
        <v>25</v>
      </c>
      <c r="C142" s="228" t="s">
        <v>160</v>
      </c>
      <c r="D142" s="234">
        <v>41275</v>
      </c>
    </row>
    <row r="143" spans="1:4" x14ac:dyDescent="0.25">
      <c r="B143" s="232">
        <v>26</v>
      </c>
      <c r="C143" s="228" t="s">
        <v>161</v>
      </c>
      <c r="D143" s="234">
        <v>41306</v>
      </c>
    </row>
    <row r="144" spans="1:4" x14ac:dyDescent="0.25">
      <c r="B144" s="232">
        <v>27</v>
      </c>
      <c r="C144" s="228" t="s">
        <v>162</v>
      </c>
      <c r="D144" s="234">
        <v>41334</v>
      </c>
    </row>
    <row r="145" spans="2:5" x14ac:dyDescent="0.25">
      <c r="B145" s="232">
        <v>28</v>
      </c>
      <c r="C145" s="228" t="s">
        <v>163</v>
      </c>
      <c r="D145" s="234">
        <v>41365</v>
      </c>
    </row>
    <row r="146" spans="2:5" x14ac:dyDescent="0.25">
      <c r="B146" s="232">
        <v>29</v>
      </c>
      <c r="C146" s="228" t="s">
        <v>164</v>
      </c>
      <c r="D146" s="234">
        <v>41395</v>
      </c>
    </row>
    <row r="147" spans="2:5" x14ac:dyDescent="0.25">
      <c r="B147" s="232">
        <v>30</v>
      </c>
      <c r="C147" s="228" t="s">
        <v>165</v>
      </c>
      <c r="D147" s="234">
        <v>41426</v>
      </c>
    </row>
    <row r="148" spans="2:5" x14ac:dyDescent="0.25">
      <c r="B148" s="232">
        <v>31</v>
      </c>
      <c r="C148" s="228" t="s">
        <v>166</v>
      </c>
      <c r="D148" s="234">
        <v>41456</v>
      </c>
    </row>
    <row r="149" spans="2:5" x14ac:dyDescent="0.25">
      <c r="B149" s="889" t="s">
        <v>212</v>
      </c>
      <c r="C149" s="890"/>
      <c r="D149" s="891"/>
      <c r="E149" t="s">
        <v>347</v>
      </c>
    </row>
  </sheetData>
  <mergeCells count="5">
    <mergeCell ref="B2:N2"/>
    <mergeCell ref="B15:N15"/>
    <mergeCell ref="B149:D149"/>
    <mergeCell ref="C28:G28"/>
    <mergeCell ref="B117:D117"/>
  </mergeCells>
  <conditionalFormatting sqref="G19:G25">
    <cfRule type="cellIs" dxfId="2" priority="2" operator="greaterThan">
      <formula>0.5</formula>
    </cfRule>
  </conditionalFormatting>
  <dataValidations disablePrompts="1" count="2">
    <dataValidation type="list" allowBlank="1" showInputMessage="1" showErrorMessage="1" sqref="B21 B7" xr:uid="{00000000-0002-0000-0800-000000000000}">
      <formula1>$A$104:$A$116</formula1>
    </dataValidation>
    <dataValidation type="list" allowBlank="1" showInputMessage="1" showErrorMessage="1" sqref="C16" xr:uid="{00000000-0002-0000-0800-000001000000}">
      <formula1>$D$118:$D$142</formula1>
    </dataValidation>
  </dataValidations>
  <hyperlinks>
    <hyperlink ref="B24" r:id="rId1" xr:uid="{00000000-0004-0000-0800-000000000000}"/>
    <hyperlink ref="B20" r:id="rId2" xr:uid="{00000000-0004-0000-0800-000001000000}"/>
    <hyperlink ref="A24" r:id="rId3" xr:uid="{00000000-0004-0000-0800-000002000000}"/>
    <hyperlink ref="A20" r:id="rId4" xr:uid="{00000000-0004-0000-0800-000003000000}"/>
    <hyperlink ref="A31" r:id="rId5" xr:uid="{00000000-0004-0000-0800-000004000000}"/>
  </hyperlinks>
  <printOptions horizontalCentered="1" verticalCentered="1"/>
  <pageMargins left="0.7" right="0.7" top="0.75" bottom="0.75" header="0.3" footer="0.3"/>
  <pageSetup scale="10" orientation="landscape" horizontalDpi="300" verticalDpi="300" r:id="rId6"/>
  <legacyDrawing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53</vt:i4>
      </vt:variant>
      <vt:variant>
        <vt:lpstr>Named Ranges</vt:lpstr>
      </vt:variant>
      <vt:variant>
        <vt:i4>28</vt:i4>
      </vt:variant>
    </vt:vector>
  </HeadingPairs>
  <TitlesOfParts>
    <vt:vector size="81" baseType="lpstr">
      <vt:lpstr>Dashboard Condensed</vt:lpstr>
      <vt:lpstr>Collateral Req</vt:lpstr>
      <vt:lpstr>Univ Ratings</vt:lpstr>
      <vt:lpstr>DUP Sec 12 requirements</vt:lpstr>
      <vt:lpstr>Sheet1</vt:lpstr>
      <vt:lpstr>Report</vt:lpstr>
      <vt:lpstr>SchedA</vt:lpstr>
      <vt:lpstr>Hedging Position Summary</vt:lpstr>
      <vt:lpstr>Chart-Data</vt:lpstr>
      <vt:lpstr>May14</vt:lpstr>
      <vt:lpstr>Apr14</vt:lpstr>
      <vt:lpstr>Mar14</vt:lpstr>
      <vt:lpstr>Feb14</vt:lpstr>
      <vt:lpstr>Jan14</vt:lpstr>
      <vt:lpstr>Dec13</vt:lpstr>
      <vt:lpstr>Nov13</vt:lpstr>
      <vt:lpstr>Oct13</vt:lpstr>
      <vt:lpstr>Sep13</vt:lpstr>
      <vt:lpstr>Aug13</vt:lpstr>
      <vt:lpstr>Jul13</vt:lpstr>
      <vt:lpstr>Jun13</vt:lpstr>
      <vt:lpstr>May13</vt:lpstr>
      <vt:lpstr>Apr13</vt:lpstr>
      <vt:lpstr>Mar13</vt:lpstr>
      <vt:lpstr>Feb13</vt:lpstr>
      <vt:lpstr>Jan13</vt:lpstr>
      <vt:lpstr>Dec12</vt:lpstr>
      <vt:lpstr>Nov12</vt:lpstr>
      <vt:lpstr>Oct12</vt:lpstr>
      <vt:lpstr>Sep12</vt:lpstr>
      <vt:lpstr>Aug12</vt:lpstr>
      <vt:lpstr>Jul12</vt:lpstr>
      <vt:lpstr>Jun12</vt:lpstr>
      <vt:lpstr>May12</vt:lpstr>
      <vt:lpstr>Apr12</vt:lpstr>
      <vt:lpstr>Mar12</vt:lpstr>
      <vt:lpstr>Feb12</vt:lpstr>
      <vt:lpstr>Jan12</vt:lpstr>
      <vt:lpstr>Dec11</vt:lpstr>
      <vt:lpstr>Nov11</vt:lpstr>
      <vt:lpstr>Oct11</vt:lpstr>
      <vt:lpstr>Sep11</vt:lpstr>
      <vt:lpstr>Aug11</vt:lpstr>
      <vt:lpstr>Jul11</vt:lpstr>
      <vt:lpstr>Jun11</vt:lpstr>
      <vt:lpstr>OLDMay11</vt:lpstr>
      <vt:lpstr>OLDApr11</vt:lpstr>
      <vt:lpstr>OldMar11</vt:lpstr>
      <vt:lpstr>FX-Example</vt:lpstr>
      <vt:lpstr>SWAP-Price-Example</vt:lpstr>
      <vt:lpstr>PUNCHLIST</vt:lpstr>
      <vt:lpstr>ReadMe</vt:lpstr>
      <vt:lpstr>Sheet2</vt:lpstr>
      <vt:lpstr>'Hedging Position Summary'!_ftn1</vt:lpstr>
      <vt:lpstr>'Hedging Position Summary'!_ftnref1</vt:lpstr>
      <vt:lpstr>AEPdata</vt:lpstr>
      <vt:lpstr>CopPctPointer</vt:lpstr>
      <vt:lpstr>COPSingle</vt:lpstr>
      <vt:lpstr>CPNotPointer</vt:lpstr>
      <vt:lpstr>CurrentMonth</vt:lpstr>
      <vt:lpstr>CurrentMonthCol</vt:lpstr>
      <vt:lpstr>EnergyNotPointer</vt:lpstr>
      <vt:lpstr>FXNotPointer</vt:lpstr>
      <vt:lpstr>IRNotPointer</vt:lpstr>
      <vt:lpstr>JP_pointer</vt:lpstr>
      <vt:lpstr>JPdata</vt:lpstr>
      <vt:lpstr>JPSC</vt:lpstr>
      <vt:lpstr>LP_Pointer</vt:lpstr>
      <vt:lpstr>LPdata</vt:lpstr>
      <vt:lpstr>LPHSFS</vt:lpstr>
      <vt:lpstr>MonthLbl</vt:lpstr>
      <vt:lpstr>MS_Cop_Pointer</vt:lpstr>
      <vt:lpstr>MS_SC_Pointer</vt:lpstr>
      <vt:lpstr>MSCOP</vt:lpstr>
      <vt:lpstr>MSdata</vt:lpstr>
      <vt:lpstr>MSSC</vt:lpstr>
      <vt:lpstr>'Dashboard Condensed'!Print_Area</vt:lpstr>
      <vt:lpstr>'Hedging Position Summary'!Print_Area</vt:lpstr>
      <vt:lpstr>Report!Print_Area</vt:lpstr>
      <vt:lpstr>SQdata</vt:lpstr>
      <vt:lpstr>TXdata</vt:lpstr>
    </vt:vector>
  </TitlesOfParts>
  <Company>University of Illinois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Mortland</dc:creator>
  <cp:lastModifiedBy>Williams, Aubrie Lee</cp:lastModifiedBy>
  <cp:lastPrinted>2021-11-17T16:18:25Z</cp:lastPrinted>
  <dcterms:created xsi:type="dcterms:W3CDTF">2010-06-09T14:19:44Z</dcterms:created>
  <dcterms:modified xsi:type="dcterms:W3CDTF">2022-01-20T19:57:13Z</dcterms:modified>
</cp:coreProperties>
</file>